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hellmann\Dropbox\AA Capri Marco\Additions\SAFE\Main Note\"/>
    </mc:Choice>
  </mc:AlternateContent>
  <xr:revisionPtr revIDLastSave="0" documentId="13_ncr:1_{554A9388-A668-475E-9E4F-0737947313B6}" xr6:coauthVersionLast="47" xr6:coauthVersionMax="47" xr10:uidLastSave="{00000000-0000-0000-0000-000000000000}"/>
  <bookViews>
    <workbookView xWindow="-108" yWindow="-108" windowWidth="23256" windowHeight="12456" firstSheet="1" activeTab="5" xr2:uid="{9FCC4E56-2221-45C3-8211-BED029F25940}"/>
  </bookViews>
  <sheets>
    <sheet name="Copyright" sheetId="4" r:id="rId1"/>
    <sheet name="Single SAFE round" sheetId="1" r:id="rId2"/>
    <sheet name="Two SAFE rounds" sheetId="2" r:id="rId3"/>
    <sheet name="Comparison of SAFEs" sheetId="7" r:id="rId4"/>
    <sheet name="Calculations" sheetId="5" r:id="rId5"/>
    <sheet name="Partially binding"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8" l="1"/>
  <c r="F24" i="8" s="1"/>
  <c r="D34" i="8"/>
  <c r="D33" i="8" s="1"/>
  <c r="D31" i="8"/>
  <c r="D17" i="8"/>
  <c r="D24" i="8" s="1"/>
  <c r="D21" i="8" s="1"/>
  <c r="M33" i="7"/>
  <c r="L33" i="7"/>
  <c r="K33" i="7"/>
  <c r="J33" i="7"/>
  <c r="I33" i="7"/>
  <c r="H33" i="7"/>
  <c r="G33" i="7"/>
  <c r="F33" i="7"/>
  <c r="E33" i="7"/>
  <c r="D33" i="7"/>
  <c r="C33" i="7"/>
  <c r="M27" i="7"/>
  <c r="L27" i="7"/>
  <c r="K27" i="7"/>
  <c r="J27" i="7"/>
  <c r="I27" i="7"/>
  <c r="H27" i="7"/>
  <c r="G27" i="7"/>
  <c r="F27" i="7"/>
  <c r="E27" i="7"/>
  <c r="D27" i="7"/>
  <c r="C27" i="7"/>
  <c r="M21" i="7"/>
  <c r="L21" i="7"/>
  <c r="K21" i="7"/>
  <c r="J21" i="7"/>
  <c r="I21" i="7"/>
  <c r="H21" i="7"/>
  <c r="G21" i="7"/>
  <c r="F21" i="7"/>
  <c r="E21" i="7"/>
  <c r="D21" i="7"/>
  <c r="C21" i="7"/>
  <c r="M15" i="7"/>
  <c r="L15" i="7"/>
  <c r="K15" i="7"/>
  <c r="J15" i="7"/>
  <c r="I15" i="7"/>
  <c r="H15" i="7"/>
  <c r="G15" i="7"/>
  <c r="F15" i="7"/>
  <c r="E15" i="7"/>
  <c r="D15" i="7"/>
  <c r="C15" i="7"/>
  <c r="M39" i="7"/>
  <c r="L39" i="7"/>
  <c r="K39" i="7"/>
  <c r="J39" i="7"/>
  <c r="I39" i="7"/>
  <c r="H39" i="7"/>
  <c r="G39" i="7"/>
  <c r="F39" i="7"/>
  <c r="E39" i="7"/>
  <c r="D39" i="7"/>
  <c r="C39" i="7"/>
  <c r="M73" i="5"/>
  <c r="L73" i="5"/>
  <c r="K73" i="5"/>
  <c r="J73" i="5"/>
  <c r="I73" i="5"/>
  <c r="H73" i="5"/>
  <c r="G73" i="5"/>
  <c r="F73" i="5"/>
  <c r="E73" i="5"/>
  <c r="D73" i="5"/>
  <c r="C73" i="5"/>
  <c r="M50" i="5"/>
  <c r="L50" i="5"/>
  <c r="K50" i="5"/>
  <c r="J50" i="5"/>
  <c r="I50" i="5"/>
  <c r="H50" i="5"/>
  <c r="G50" i="5"/>
  <c r="F50" i="5"/>
  <c r="E50" i="5"/>
  <c r="D50" i="5"/>
  <c r="C50" i="5"/>
  <c r="M70" i="5"/>
  <c r="L70" i="5"/>
  <c r="K70" i="5"/>
  <c r="J70" i="5"/>
  <c r="I70" i="5"/>
  <c r="H70" i="5"/>
  <c r="G70" i="5"/>
  <c r="F70" i="5"/>
  <c r="E70" i="5"/>
  <c r="D70" i="5"/>
  <c r="C70" i="5"/>
  <c r="M47" i="5"/>
  <c r="L47" i="5"/>
  <c r="K47" i="5"/>
  <c r="J47" i="5"/>
  <c r="I47" i="5"/>
  <c r="H47" i="5"/>
  <c r="G47" i="5"/>
  <c r="F47" i="5"/>
  <c r="E47" i="5"/>
  <c r="D47" i="5"/>
  <c r="C47" i="5"/>
  <c r="M69" i="5"/>
  <c r="L69" i="5"/>
  <c r="K69" i="5"/>
  <c r="J69" i="5"/>
  <c r="I69" i="5"/>
  <c r="H69" i="5"/>
  <c r="G69" i="5"/>
  <c r="F69" i="5"/>
  <c r="E69" i="5"/>
  <c r="D69" i="5"/>
  <c r="C69" i="5"/>
  <c r="M46" i="5"/>
  <c r="L46" i="5"/>
  <c r="K46" i="5"/>
  <c r="J46" i="5"/>
  <c r="I46" i="5"/>
  <c r="H46" i="5"/>
  <c r="G46" i="5"/>
  <c r="F46" i="5"/>
  <c r="E46" i="5"/>
  <c r="D46" i="5"/>
  <c r="C46" i="5"/>
  <c r="M66" i="5"/>
  <c r="L66" i="5"/>
  <c r="K66" i="5"/>
  <c r="J66" i="5"/>
  <c r="I66" i="5"/>
  <c r="H66" i="5"/>
  <c r="G66" i="5"/>
  <c r="F66" i="5"/>
  <c r="E66" i="5"/>
  <c r="D66" i="5"/>
  <c r="C66" i="5"/>
  <c r="M43" i="5"/>
  <c r="L43" i="5"/>
  <c r="K43" i="5"/>
  <c r="J43" i="5"/>
  <c r="I43" i="5"/>
  <c r="H43" i="5"/>
  <c r="G43" i="5"/>
  <c r="F43" i="5"/>
  <c r="E43" i="5"/>
  <c r="D43" i="5"/>
  <c r="C43" i="5"/>
  <c r="M65" i="5"/>
  <c r="L65" i="5"/>
  <c r="K65" i="5"/>
  <c r="J65" i="5"/>
  <c r="I65" i="5"/>
  <c r="H65" i="5"/>
  <c r="G65" i="5"/>
  <c r="F65" i="5"/>
  <c r="E65" i="5"/>
  <c r="D65" i="5"/>
  <c r="C65" i="5"/>
  <c r="M42" i="5"/>
  <c r="L42" i="5"/>
  <c r="K42" i="5"/>
  <c r="J42" i="5"/>
  <c r="I42" i="5"/>
  <c r="H42" i="5"/>
  <c r="G42" i="5"/>
  <c r="F42" i="5"/>
  <c r="E42" i="5"/>
  <c r="D42" i="5"/>
  <c r="C42" i="5"/>
  <c r="M76" i="5"/>
  <c r="L76" i="5"/>
  <c r="K76" i="5"/>
  <c r="J76" i="5"/>
  <c r="I76" i="5"/>
  <c r="H76" i="5"/>
  <c r="G76" i="5"/>
  <c r="F76" i="5"/>
  <c r="E76" i="5"/>
  <c r="D76" i="5"/>
  <c r="C76" i="5"/>
  <c r="M53" i="5"/>
  <c r="L53" i="5"/>
  <c r="K53" i="5"/>
  <c r="J53" i="5"/>
  <c r="I53" i="5"/>
  <c r="H53" i="5"/>
  <c r="G53" i="5"/>
  <c r="F53" i="5"/>
  <c r="E53" i="5"/>
  <c r="D53" i="5"/>
  <c r="C53" i="5"/>
  <c r="M30" i="5"/>
  <c r="L30" i="5"/>
  <c r="K30" i="5"/>
  <c r="J30" i="5"/>
  <c r="I30" i="5"/>
  <c r="H30" i="5"/>
  <c r="G30" i="5"/>
  <c r="F30" i="5"/>
  <c r="E30" i="5"/>
  <c r="D30" i="5"/>
  <c r="C30" i="5"/>
  <c r="M27" i="5"/>
  <c r="L27" i="5"/>
  <c r="K27" i="5"/>
  <c r="J27" i="5"/>
  <c r="I27" i="5"/>
  <c r="H27" i="5"/>
  <c r="G27" i="5"/>
  <c r="F27" i="5"/>
  <c r="E27" i="5"/>
  <c r="D27" i="5"/>
  <c r="C27" i="5"/>
  <c r="M26" i="5"/>
  <c r="L26" i="5"/>
  <c r="K26" i="5"/>
  <c r="J26" i="5"/>
  <c r="I26" i="5"/>
  <c r="H26" i="5"/>
  <c r="G26" i="5"/>
  <c r="F26" i="5"/>
  <c r="E26" i="5"/>
  <c r="D26" i="5"/>
  <c r="C26" i="5"/>
  <c r="M23" i="5"/>
  <c r="L23" i="5"/>
  <c r="K23" i="5"/>
  <c r="J23" i="5"/>
  <c r="I23" i="5"/>
  <c r="H23" i="5"/>
  <c r="G23" i="5"/>
  <c r="F23" i="5"/>
  <c r="E23" i="5"/>
  <c r="D23" i="5"/>
  <c r="C23" i="5"/>
  <c r="M22" i="5"/>
  <c r="L22" i="5"/>
  <c r="K22" i="5"/>
  <c r="J22" i="5"/>
  <c r="I22" i="5"/>
  <c r="H22" i="5"/>
  <c r="G22" i="5"/>
  <c r="F22" i="5"/>
  <c r="E22" i="5"/>
  <c r="D22" i="5"/>
  <c r="C22" i="5"/>
  <c r="M9" i="5"/>
  <c r="L9" i="5"/>
  <c r="K9" i="5"/>
  <c r="J9" i="5"/>
  <c r="I9" i="5"/>
  <c r="H9" i="5"/>
  <c r="G9" i="5"/>
  <c r="F9" i="5"/>
  <c r="E9" i="5"/>
  <c r="D9" i="5"/>
  <c r="C9" i="5"/>
  <c r="M6" i="5"/>
  <c r="L6" i="5"/>
  <c r="K6" i="5"/>
  <c r="J6" i="5"/>
  <c r="I6" i="5"/>
  <c r="H6" i="5"/>
  <c r="G6" i="5"/>
  <c r="F6" i="5"/>
  <c r="E6" i="5"/>
  <c r="D6" i="5"/>
  <c r="C6" i="5"/>
  <c r="M4" i="5"/>
  <c r="M40" i="7" s="1"/>
  <c r="L4" i="5"/>
  <c r="L40" i="7" s="1"/>
  <c r="K4" i="5"/>
  <c r="K40" i="7" s="1"/>
  <c r="J4" i="5"/>
  <c r="J40" i="7" s="1"/>
  <c r="I4" i="5"/>
  <c r="I40" i="7" s="1"/>
  <c r="H4" i="5"/>
  <c r="H40" i="7" s="1"/>
  <c r="G4" i="5"/>
  <c r="G40" i="7" s="1"/>
  <c r="F4" i="5"/>
  <c r="F40" i="7" s="1"/>
  <c r="E4" i="5"/>
  <c r="E40" i="7" s="1"/>
  <c r="D4" i="5"/>
  <c r="D40" i="7" s="1"/>
  <c r="C4" i="5"/>
  <c r="C40" i="7" s="1"/>
  <c r="M3" i="5"/>
  <c r="L3" i="5"/>
  <c r="K3" i="5"/>
  <c r="J3" i="5"/>
  <c r="I3" i="5"/>
  <c r="H3" i="5"/>
  <c r="G3" i="5"/>
  <c r="F3" i="5"/>
  <c r="E3" i="5"/>
  <c r="D3" i="5"/>
  <c r="C3" i="5"/>
  <c r="M2" i="5"/>
  <c r="L2" i="5"/>
  <c r="K2" i="5"/>
  <c r="J2" i="5"/>
  <c r="I2" i="5"/>
  <c r="H2" i="5"/>
  <c r="G2" i="5"/>
  <c r="F2" i="5"/>
  <c r="E2" i="5"/>
  <c r="D2" i="5"/>
  <c r="C2" i="5"/>
  <c r="F21" i="8" l="1"/>
  <c r="F31" i="8"/>
  <c r="F20" i="8"/>
  <c r="F11" i="8"/>
  <c r="D32" i="8"/>
  <c r="D30" i="8"/>
  <c r="D11" i="8"/>
  <c r="D20" i="8"/>
  <c r="J18" i="2"/>
  <c r="J9" i="2"/>
  <c r="J17" i="2"/>
  <c r="F34" i="8" l="1"/>
  <c r="F32" i="8"/>
  <c r="F30" i="8" s="1"/>
  <c r="F10" i="8"/>
  <c r="F22" i="8"/>
  <c r="F18" i="8"/>
  <c r="F23" i="8"/>
  <c r="F33" i="8" s="1"/>
  <c r="F9" i="8"/>
  <c r="D23" i="8"/>
  <c r="D9" i="8"/>
  <c r="D10" i="8"/>
  <c r="D18" i="8"/>
  <c r="D22" i="8"/>
  <c r="J21" i="2"/>
  <c r="J20" i="2"/>
  <c r="J22" i="2"/>
  <c r="H17" i="2"/>
  <c r="H18" i="2" s="1"/>
  <c r="H9" i="2" s="1"/>
  <c r="F25" i="8" l="1"/>
  <c r="D25" i="8"/>
  <c r="D29" i="8" s="1"/>
  <c r="J34" i="2"/>
  <c r="J23" i="2"/>
  <c r="H7" i="2"/>
  <c r="H20" i="2" s="1"/>
  <c r="H23" i="2" s="1"/>
  <c r="H34" i="2" s="1"/>
  <c r="H8" i="2"/>
  <c r="H21" i="2" s="1"/>
  <c r="F26" i="8" l="1"/>
  <c r="F27" i="8"/>
  <c r="F28" i="8"/>
  <c r="F29" i="8"/>
  <c r="D26" i="8"/>
  <c r="D28" i="8"/>
  <c r="D27" i="8"/>
  <c r="J33" i="2"/>
  <c r="J24" i="2"/>
  <c r="H33" i="2"/>
  <c r="H24" i="2"/>
  <c r="J25" i="2" l="1"/>
  <c r="J30" i="2"/>
  <c r="J31" i="2"/>
  <c r="J32" i="2"/>
  <c r="H30" i="2"/>
  <c r="H32" i="2"/>
  <c r="H31" i="2"/>
  <c r="J26" i="2" l="1"/>
  <c r="J27" i="2"/>
  <c r="J29" i="2"/>
  <c r="J28" i="2"/>
  <c r="C44" i="5" l="1"/>
  <c r="C7" i="1"/>
  <c r="D7" i="2"/>
  <c r="E13" i="1" l="1"/>
  <c r="M74" i="5" l="1"/>
  <c r="L74" i="5"/>
  <c r="K74" i="5"/>
  <c r="J74" i="5"/>
  <c r="H74" i="5"/>
  <c r="G74" i="5"/>
  <c r="F74" i="5"/>
  <c r="D74" i="5"/>
  <c r="C74" i="5"/>
  <c r="M51" i="5"/>
  <c r="L51" i="5"/>
  <c r="K51" i="5"/>
  <c r="J51" i="5"/>
  <c r="I51" i="5"/>
  <c r="H51" i="5"/>
  <c r="G51" i="5"/>
  <c r="F51" i="5"/>
  <c r="E51" i="5"/>
  <c r="D51" i="5"/>
  <c r="C51" i="5"/>
  <c r="M28" i="5"/>
  <c r="L28" i="5"/>
  <c r="K28" i="5"/>
  <c r="J28" i="5"/>
  <c r="I28" i="5"/>
  <c r="H28" i="5"/>
  <c r="G28" i="5"/>
  <c r="F28" i="5"/>
  <c r="E28" i="5"/>
  <c r="D28" i="5"/>
  <c r="C29" i="5"/>
  <c r="C25" i="5" s="1"/>
  <c r="E85" i="5"/>
  <c r="E84" i="5" s="1"/>
  <c r="E74" i="5"/>
  <c r="E44" i="5"/>
  <c r="E10" i="5"/>
  <c r="E7" i="5"/>
  <c r="F85" i="5"/>
  <c r="F79" i="5" s="1"/>
  <c r="F77" i="5" s="1"/>
  <c r="F44" i="5"/>
  <c r="F10" i="5"/>
  <c r="F7" i="5"/>
  <c r="G85" i="5"/>
  <c r="G79" i="5" s="1"/>
  <c r="G77" i="5" s="1"/>
  <c r="G44" i="5"/>
  <c r="G10" i="5"/>
  <c r="G7" i="5"/>
  <c r="H85" i="5"/>
  <c r="H84" i="5" s="1"/>
  <c r="H44" i="5"/>
  <c r="H10" i="5"/>
  <c r="H7" i="5"/>
  <c r="I85" i="5"/>
  <c r="I84" i="5" s="1"/>
  <c r="I74" i="5"/>
  <c r="I44" i="5"/>
  <c r="L10" i="5"/>
  <c r="L19" i="5" s="1"/>
  <c r="L7" i="5"/>
  <c r="C85" i="5"/>
  <c r="C84" i="5" s="1"/>
  <c r="D10" i="5"/>
  <c r="D19" i="5" s="1"/>
  <c r="D7" i="5"/>
  <c r="D44" i="5"/>
  <c r="D85" i="5"/>
  <c r="D79" i="5" s="1"/>
  <c r="D77" i="5" s="1"/>
  <c r="M85" i="5"/>
  <c r="M84" i="5" s="1"/>
  <c r="L85" i="5"/>
  <c r="L79" i="5" s="1"/>
  <c r="K85" i="5"/>
  <c r="K84" i="5" s="1"/>
  <c r="J85" i="5"/>
  <c r="J84" i="5" s="1"/>
  <c r="J44" i="5"/>
  <c r="K44" i="5"/>
  <c r="L44" i="5"/>
  <c r="M44" i="5"/>
  <c r="M10" i="5"/>
  <c r="M7" i="5"/>
  <c r="K10" i="5"/>
  <c r="K19" i="5" s="1"/>
  <c r="K7" i="5"/>
  <c r="J10" i="5"/>
  <c r="J7" i="5"/>
  <c r="C10" i="5"/>
  <c r="C7" i="5"/>
  <c r="I10" i="5"/>
  <c r="I19" i="5" s="1"/>
  <c r="I7" i="5"/>
  <c r="L23" i="1"/>
  <c r="L17" i="1" s="1"/>
  <c r="I6" i="1"/>
  <c r="I15" i="1" s="1"/>
  <c r="I17" i="1" s="1"/>
  <c r="H6" i="1"/>
  <c r="F17" i="2"/>
  <c r="D17" i="2"/>
  <c r="L12" i="1"/>
  <c r="K12" i="1"/>
  <c r="I12" i="1"/>
  <c r="H12" i="1"/>
  <c r="M12" i="5" l="1"/>
  <c r="M19" i="5"/>
  <c r="G12" i="5"/>
  <c r="G19" i="5"/>
  <c r="J12" i="5"/>
  <c r="J18" i="5" s="1"/>
  <c r="J28" i="7" s="1"/>
  <c r="J19" i="5"/>
  <c r="H12" i="5"/>
  <c r="H17" i="5" s="1"/>
  <c r="H34" i="7" s="1"/>
  <c r="H19" i="5"/>
  <c r="F12" i="5"/>
  <c r="F17" i="5" s="1"/>
  <c r="F34" i="7" s="1"/>
  <c r="F19" i="5"/>
  <c r="E12" i="5"/>
  <c r="E17" i="5" s="1"/>
  <c r="E34" i="7" s="1"/>
  <c r="E19" i="5"/>
  <c r="C12" i="5"/>
  <c r="C17" i="5" s="1"/>
  <c r="C34" i="7" s="1"/>
  <c r="C19" i="5"/>
  <c r="C28" i="5"/>
  <c r="G54" i="5"/>
  <c r="G56" i="5" s="1"/>
  <c r="G62" i="5" s="1"/>
  <c r="K54" i="5"/>
  <c r="K56" i="5" s="1"/>
  <c r="K61" i="5" s="1"/>
  <c r="I54" i="5"/>
  <c r="I56" i="5" s="1"/>
  <c r="I62" i="5" s="1"/>
  <c r="J54" i="5"/>
  <c r="J56" i="5" s="1"/>
  <c r="H54" i="5"/>
  <c r="H56" i="5" s="1"/>
  <c r="H61" i="5" s="1"/>
  <c r="E54" i="5"/>
  <c r="E56" i="5" s="1"/>
  <c r="E61" i="5" s="1"/>
  <c r="L54" i="5"/>
  <c r="L56" i="5" s="1"/>
  <c r="L61" i="5" s="1"/>
  <c r="M54" i="5"/>
  <c r="M56" i="5" s="1"/>
  <c r="M61" i="5" s="1"/>
  <c r="D54" i="5"/>
  <c r="D56" i="5" s="1"/>
  <c r="D61" i="5" s="1"/>
  <c r="F54" i="5"/>
  <c r="F56" i="5" s="1"/>
  <c r="F62" i="5" s="1"/>
  <c r="G84" i="5"/>
  <c r="E29" i="5"/>
  <c r="E25" i="5" s="1"/>
  <c r="E24" i="5" s="1"/>
  <c r="E41" i="7" s="1"/>
  <c r="G29" i="5"/>
  <c r="G25" i="5" s="1"/>
  <c r="G24" i="5" s="1"/>
  <c r="G41" i="7" s="1"/>
  <c r="H79" i="5"/>
  <c r="H77" i="5" s="1"/>
  <c r="H67" i="5" s="1"/>
  <c r="E79" i="5"/>
  <c r="E77" i="5" s="1"/>
  <c r="E67" i="5" s="1"/>
  <c r="F68" i="5"/>
  <c r="F78" i="5" s="1"/>
  <c r="F84" i="5"/>
  <c r="H29" i="5"/>
  <c r="H25" i="5" s="1"/>
  <c r="H32" i="5" s="1"/>
  <c r="H5" i="5"/>
  <c r="H11" i="5" s="1"/>
  <c r="F5" i="5"/>
  <c r="F11" i="5" s="1"/>
  <c r="F13" i="5" s="1"/>
  <c r="D29" i="5"/>
  <c r="D25" i="5" s="1"/>
  <c r="D32" i="5" s="1"/>
  <c r="F67" i="5"/>
  <c r="G68" i="5"/>
  <c r="G67" i="5"/>
  <c r="G5" i="5"/>
  <c r="G17" i="5"/>
  <c r="G34" i="7" s="1"/>
  <c r="G18" i="5"/>
  <c r="G28" i="7" s="1"/>
  <c r="C32" i="5"/>
  <c r="C24" i="5"/>
  <c r="C41" i="7" s="1"/>
  <c r="I79" i="5"/>
  <c r="I68" i="5" s="1"/>
  <c r="L12" i="5"/>
  <c r="L5" i="5" s="1"/>
  <c r="D84" i="5"/>
  <c r="D68" i="5"/>
  <c r="D78" i="5" s="1"/>
  <c r="D12" i="5"/>
  <c r="D67" i="5"/>
  <c r="L68" i="5"/>
  <c r="L78" i="5" s="1"/>
  <c r="L77" i="5"/>
  <c r="L67" i="5" s="1"/>
  <c r="M79" i="5"/>
  <c r="M77" i="5" s="1"/>
  <c r="M67" i="5" s="1"/>
  <c r="K79" i="5"/>
  <c r="K77" i="5" s="1"/>
  <c r="K67" i="5" s="1"/>
  <c r="L84" i="5"/>
  <c r="C79" i="5"/>
  <c r="C77" i="5" s="1"/>
  <c r="C67" i="5" s="1"/>
  <c r="J79" i="5"/>
  <c r="K12" i="5"/>
  <c r="K17" i="5" s="1"/>
  <c r="K34" i="7" s="1"/>
  <c r="M17" i="5"/>
  <c r="M34" i="7" s="1"/>
  <c r="M5" i="5"/>
  <c r="M18" i="5"/>
  <c r="M28" i="7" s="1"/>
  <c r="J17" i="5"/>
  <c r="J34" i="7" s="1"/>
  <c r="C5" i="5"/>
  <c r="C11" i="5" s="1"/>
  <c r="C13" i="5" s="1"/>
  <c r="C16" i="5" s="1"/>
  <c r="C18" i="5"/>
  <c r="C28" i="7" s="1"/>
  <c r="I12" i="5"/>
  <c r="I5" i="5" s="1"/>
  <c r="L22" i="1"/>
  <c r="L15" i="1"/>
  <c r="L6" i="1" s="1"/>
  <c r="L7" i="1"/>
  <c r="L13" i="1" s="1"/>
  <c r="F12" i="1"/>
  <c r="F13" i="1"/>
  <c r="F7" i="1" s="1"/>
  <c r="E7" i="1"/>
  <c r="E12" i="1"/>
  <c r="C12" i="1"/>
  <c r="F34" i="2"/>
  <c r="F33" i="2" s="1"/>
  <c r="F32" i="2"/>
  <c r="F31" i="2"/>
  <c r="D8" i="2"/>
  <c r="D21" i="2" s="1"/>
  <c r="K23" i="1"/>
  <c r="K17" i="1" s="1"/>
  <c r="K7" i="1" s="1"/>
  <c r="I7" i="1"/>
  <c r="H15" i="1"/>
  <c r="C15" i="1"/>
  <c r="C17" i="1" s="1"/>
  <c r="C22" i="1" s="1"/>
  <c r="F18" i="5" l="1"/>
  <c r="F28" i="7" s="1"/>
  <c r="E18" i="5"/>
  <c r="E28" i="7" s="1"/>
  <c r="E5" i="5"/>
  <c r="E11" i="5" s="1"/>
  <c r="E13" i="5" s="1"/>
  <c r="E14" i="5" s="1"/>
  <c r="E22" i="7" s="1"/>
  <c r="J5" i="5"/>
  <c r="J8" i="5" s="1"/>
  <c r="H18" i="5"/>
  <c r="H28" i="7" s="1"/>
  <c r="H62" i="5"/>
  <c r="H45" i="5"/>
  <c r="H55" i="5" s="1"/>
  <c r="C71" i="5"/>
  <c r="C72" i="5" s="1"/>
  <c r="C12" i="7" s="1"/>
  <c r="E45" i="5"/>
  <c r="E52" i="5" s="1"/>
  <c r="G48" i="5"/>
  <c r="G49" i="5" s="1"/>
  <c r="G11" i="7" s="1"/>
  <c r="G71" i="5"/>
  <c r="G72" i="5" s="1"/>
  <c r="G12" i="7" s="1"/>
  <c r="E48" i="5"/>
  <c r="E49" i="5" s="1"/>
  <c r="E11" i="7" s="1"/>
  <c r="E71" i="5"/>
  <c r="E72" i="5" s="1"/>
  <c r="E12" i="7" s="1"/>
  <c r="C31" i="5"/>
  <c r="C33" i="5" s="1"/>
  <c r="C38" i="5" s="1"/>
  <c r="C35" i="7" s="1"/>
  <c r="C48" i="5"/>
  <c r="C49" i="5" s="1"/>
  <c r="C11" i="7" s="1"/>
  <c r="E62" i="5"/>
  <c r="H24" i="5"/>
  <c r="H41" i="7" s="1"/>
  <c r="E32" i="5"/>
  <c r="F29" i="5"/>
  <c r="F25" i="5" s="1"/>
  <c r="F32" i="5" s="1"/>
  <c r="H8" i="5"/>
  <c r="E8" i="5"/>
  <c r="F75" i="5"/>
  <c r="F8" i="5"/>
  <c r="G32" i="5"/>
  <c r="E68" i="5"/>
  <c r="H68" i="5"/>
  <c r="D24" i="5"/>
  <c r="D41" i="7" s="1"/>
  <c r="E31" i="5"/>
  <c r="E16" i="5"/>
  <c r="E15" i="5"/>
  <c r="E16" i="7" s="1"/>
  <c r="F14" i="5"/>
  <c r="F22" i="7" s="1"/>
  <c r="F15" i="5"/>
  <c r="F16" i="7" s="1"/>
  <c r="F80" i="5"/>
  <c r="F83" i="5" s="1"/>
  <c r="F16" i="5"/>
  <c r="F45" i="5"/>
  <c r="F61" i="5"/>
  <c r="G78" i="5"/>
  <c r="G75" i="5"/>
  <c r="G31" i="5"/>
  <c r="G11" i="5"/>
  <c r="G8" i="5"/>
  <c r="G45" i="5"/>
  <c r="G61" i="5"/>
  <c r="H13" i="5"/>
  <c r="H16" i="5" s="1"/>
  <c r="I77" i="5"/>
  <c r="I67" i="5" s="1"/>
  <c r="I29" i="5"/>
  <c r="I25" i="5" s="1"/>
  <c r="I75" i="5"/>
  <c r="I78" i="5"/>
  <c r="I61" i="5"/>
  <c r="I45" i="5"/>
  <c r="D75" i="5"/>
  <c r="L11" i="5"/>
  <c r="L8" i="5"/>
  <c r="L17" i="5"/>
  <c r="L34" i="7" s="1"/>
  <c r="L18" i="5"/>
  <c r="L28" i="7" s="1"/>
  <c r="D17" i="5"/>
  <c r="D34" i="7" s="1"/>
  <c r="D18" i="5"/>
  <c r="D28" i="7" s="1"/>
  <c r="D5" i="5"/>
  <c r="D62" i="5"/>
  <c r="D45" i="5"/>
  <c r="D80" i="5"/>
  <c r="D83" i="5" s="1"/>
  <c r="L75" i="5"/>
  <c r="M68" i="5"/>
  <c r="M75" i="5" s="1"/>
  <c r="K68" i="5"/>
  <c r="L80" i="5"/>
  <c r="L83" i="5" s="1"/>
  <c r="C68" i="5"/>
  <c r="J77" i="5"/>
  <c r="J68" i="5"/>
  <c r="K62" i="5"/>
  <c r="M45" i="5"/>
  <c r="J61" i="5"/>
  <c r="J45" i="5"/>
  <c r="J62" i="5"/>
  <c r="K45" i="5"/>
  <c r="L62" i="5"/>
  <c r="L45" i="5"/>
  <c r="M62" i="5"/>
  <c r="K18" i="5"/>
  <c r="K28" i="7" s="1"/>
  <c r="K5" i="5"/>
  <c r="M8" i="5"/>
  <c r="M11" i="5"/>
  <c r="C8" i="5"/>
  <c r="C14" i="5"/>
  <c r="C15" i="5"/>
  <c r="I11" i="5"/>
  <c r="I13" i="5" s="1"/>
  <c r="I8" i="5"/>
  <c r="I17" i="5"/>
  <c r="I34" i="7" s="1"/>
  <c r="I18" i="5"/>
  <c r="I28" i="7" s="1"/>
  <c r="L16" i="1"/>
  <c r="L18" i="1" s="1"/>
  <c r="K13" i="1"/>
  <c r="K16" i="1"/>
  <c r="I13" i="1"/>
  <c r="I16" i="1"/>
  <c r="I18" i="1" s="1"/>
  <c r="F24" i="2"/>
  <c r="F9" i="2" s="1"/>
  <c r="F30" i="2"/>
  <c r="K22" i="1"/>
  <c r="E6" i="1"/>
  <c r="E15" i="1" s="1"/>
  <c r="E17" i="1" s="1"/>
  <c r="E23" i="1" s="1"/>
  <c r="E16" i="1"/>
  <c r="F6" i="1"/>
  <c r="F15" i="1" s="1"/>
  <c r="F17" i="1" s="1"/>
  <c r="F16" i="1"/>
  <c r="K15" i="1"/>
  <c r="I22" i="1"/>
  <c r="H17" i="1"/>
  <c r="I23" i="1"/>
  <c r="C23" i="1"/>
  <c r="J11" i="5" l="1"/>
  <c r="J13" i="5" s="1"/>
  <c r="J14" i="5" s="1"/>
  <c r="J22" i="7" s="1"/>
  <c r="C36" i="7"/>
  <c r="C42" i="7"/>
  <c r="E43" i="7"/>
  <c r="G37" i="7"/>
  <c r="G31" i="7"/>
  <c r="G43" i="7"/>
  <c r="G30" i="7"/>
  <c r="G42" i="7"/>
  <c r="G36" i="7"/>
  <c r="C37" i="7"/>
  <c r="C43" i="7"/>
  <c r="E42" i="7"/>
  <c r="C22" i="7"/>
  <c r="C16" i="7"/>
  <c r="E55" i="5"/>
  <c r="E57" i="5" s="1"/>
  <c r="E60" i="5" s="1"/>
  <c r="H52" i="5"/>
  <c r="H71" i="5"/>
  <c r="H72" i="5" s="1"/>
  <c r="H12" i="7" s="1"/>
  <c r="D71" i="5"/>
  <c r="D72" i="5" s="1"/>
  <c r="D12" i="7" s="1"/>
  <c r="H48" i="5"/>
  <c r="H49" i="5" s="1"/>
  <c r="H11" i="7" s="1"/>
  <c r="D31" i="5"/>
  <c r="D33" i="5" s="1"/>
  <c r="D38" i="5" s="1"/>
  <c r="D35" i="7" s="1"/>
  <c r="D48" i="5"/>
  <c r="D49" i="5" s="1"/>
  <c r="D11" i="7" s="1"/>
  <c r="H31" i="5"/>
  <c r="H33" i="5" s="1"/>
  <c r="M52" i="5"/>
  <c r="F24" i="5"/>
  <c r="F41" i="7" s="1"/>
  <c r="E78" i="5"/>
  <c r="E80" i="5" s="1"/>
  <c r="E83" i="5" s="1"/>
  <c r="E75" i="5"/>
  <c r="H78" i="5"/>
  <c r="H80" i="5" s="1"/>
  <c r="H81" i="5" s="1"/>
  <c r="H75" i="5"/>
  <c r="C39" i="5"/>
  <c r="C29" i="7" s="1"/>
  <c r="C34" i="5"/>
  <c r="C37" i="5" s="1"/>
  <c r="E33" i="5"/>
  <c r="E39" i="5" s="1"/>
  <c r="E29" i="7" s="1"/>
  <c r="F55" i="5"/>
  <c r="F52" i="5"/>
  <c r="F81" i="5"/>
  <c r="F82" i="5"/>
  <c r="G55" i="5"/>
  <c r="G52" i="5"/>
  <c r="G80" i="5"/>
  <c r="G13" i="5"/>
  <c r="G16" i="5" s="1"/>
  <c r="G33" i="5"/>
  <c r="G39" i="5" s="1"/>
  <c r="G29" i="7" s="1"/>
  <c r="H57" i="5"/>
  <c r="H60" i="5" s="1"/>
  <c r="H14" i="5"/>
  <c r="H22" i="7" s="1"/>
  <c r="H15" i="5"/>
  <c r="H16" i="7" s="1"/>
  <c r="I24" i="5"/>
  <c r="I41" i="7" s="1"/>
  <c r="I32" i="5"/>
  <c r="J29" i="5"/>
  <c r="J25" i="5" s="1"/>
  <c r="I80" i="5"/>
  <c r="I83" i="5" s="1"/>
  <c r="I55" i="5"/>
  <c r="I52" i="5"/>
  <c r="L13" i="5"/>
  <c r="D8" i="5"/>
  <c r="D11" i="5"/>
  <c r="D55" i="5"/>
  <c r="D52" i="5"/>
  <c r="D81" i="5"/>
  <c r="D82" i="5"/>
  <c r="M78" i="5"/>
  <c r="M80" i="5" s="1"/>
  <c r="M82" i="5" s="1"/>
  <c r="K78" i="5"/>
  <c r="K80" i="5" s="1"/>
  <c r="K81" i="5" s="1"/>
  <c r="K75" i="5"/>
  <c r="L81" i="5"/>
  <c r="L82" i="5"/>
  <c r="C75" i="5"/>
  <c r="C78" i="5"/>
  <c r="C80" i="5" s="1"/>
  <c r="C82" i="5" s="1"/>
  <c r="J15" i="5"/>
  <c r="J16" i="7" s="1"/>
  <c r="J75" i="5"/>
  <c r="J78" i="5"/>
  <c r="J67" i="5"/>
  <c r="M55" i="5"/>
  <c r="M57" i="5" s="1"/>
  <c r="J16" i="5"/>
  <c r="J52" i="5"/>
  <c r="J55" i="5"/>
  <c r="K55" i="5"/>
  <c r="K52" i="5"/>
  <c r="L52" i="5"/>
  <c r="L55" i="5"/>
  <c r="K8" i="5"/>
  <c r="K11" i="5"/>
  <c r="M13" i="5"/>
  <c r="I14" i="5"/>
  <c r="I22" i="7" s="1"/>
  <c r="I15" i="5"/>
  <c r="I16" i="7" s="1"/>
  <c r="I16" i="5"/>
  <c r="K18" i="1"/>
  <c r="K19" i="1" s="1"/>
  <c r="F22" i="2"/>
  <c r="F18" i="2"/>
  <c r="H23" i="1"/>
  <c r="H7" i="1"/>
  <c r="F21" i="2"/>
  <c r="F8" i="2" s="1"/>
  <c r="F20" i="2"/>
  <c r="F22" i="1"/>
  <c r="F23" i="1"/>
  <c r="F18" i="1"/>
  <c r="L19" i="1"/>
  <c r="I19" i="1"/>
  <c r="L21" i="1"/>
  <c r="I20" i="1"/>
  <c r="L20" i="1"/>
  <c r="I21" i="1"/>
  <c r="K6" i="1"/>
  <c r="H22" i="1"/>
  <c r="E18" i="1"/>
  <c r="E22" i="1"/>
  <c r="E31" i="7" l="1"/>
  <c r="E30" i="7"/>
  <c r="H31" i="7"/>
  <c r="H25" i="7"/>
  <c r="H43" i="7"/>
  <c r="H37" i="7"/>
  <c r="C31" i="7"/>
  <c r="D37" i="7"/>
  <c r="D43" i="7"/>
  <c r="C30" i="7"/>
  <c r="D36" i="7"/>
  <c r="D42" i="7"/>
  <c r="H30" i="7"/>
  <c r="H42" i="7"/>
  <c r="H36" i="7"/>
  <c r="F71" i="5"/>
  <c r="F72" i="5" s="1"/>
  <c r="F12" i="7" s="1"/>
  <c r="I48" i="5"/>
  <c r="I49" i="5" s="1"/>
  <c r="I11" i="7" s="1"/>
  <c r="I71" i="5"/>
  <c r="I72" i="5" s="1"/>
  <c r="I12" i="7" s="1"/>
  <c r="F48" i="5"/>
  <c r="F49" i="5" s="1"/>
  <c r="F11" i="7" s="1"/>
  <c r="D34" i="5"/>
  <c r="D37" i="5" s="1"/>
  <c r="D39" i="5"/>
  <c r="D29" i="7" s="1"/>
  <c r="F31" i="5"/>
  <c r="F33" i="5" s="1"/>
  <c r="F34" i="5" s="1"/>
  <c r="H82" i="5"/>
  <c r="H19" i="7" s="1"/>
  <c r="E82" i="5"/>
  <c r="H83" i="5"/>
  <c r="C36" i="5"/>
  <c r="E81" i="5"/>
  <c r="K21" i="1"/>
  <c r="C35" i="5"/>
  <c r="E58" i="5"/>
  <c r="E59" i="5"/>
  <c r="E38" i="5"/>
  <c r="E34" i="5"/>
  <c r="F57" i="5"/>
  <c r="G81" i="5"/>
  <c r="G25" i="7" s="1"/>
  <c r="G82" i="5"/>
  <c r="G19" i="7" s="1"/>
  <c r="G38" i="5"/>
  <c r="G35" i="7" s="1"/>
  <c r="G34" i="5"/>
  <c r="G83" i="5"/>
  <c r="G14" i="5"/>
  <c r="G22" i="7" s="1"/>
  <c r="G15" i="5"/>
  <c r="G16" i="7" s="1"/>
  <c r="G57" i="5"/>
  <c r="H38" i="5"/>
  <c r="H35" i="7" s="1"/>
  <c r="H34" i="5"/>
  <c r="H39" i="5"/>
  <c r="H29" i="7" s="1"/>
  <c r="H59" i="5"/>
  <c r="H18" i="7" s="1"/>
  <c r="H58" i="5"/>
  <c r="H24" i="7" s="1"/>
  <c r="I31" i="5"/>
  <c r="I33" i="5" s="1"/>
  <c r="I38" i="5" s="1"/>
  <c r="I35" i="7" s="1"/>
  <c r="J32" i="5"/>
  <c r="J24" i="5"/>
  <c r="J41" i="7" s="1"/>
  <c r="K29" i="5"/>
  <c r="K25" i="5" s="1"/>
  <c r="I81" i="5"/>
  <c r="I82" i="5"/>
  <c r="I57" i="5"/>
  <c r="L14" i="5"/>
  <c r="L22" i="7" s="1"/>
  <c r="L15" i="5"/>
  <c r="L16" i="7" s="1"/>
  <c r="L16" i="5"/>
  <c r="D13" i="5"/>
  <c r="D57" i="5"/>
  <c r="M83" i="5"/>
  <c r="M81" i="5"/>
  <c r="K82" i="5"/>
  <c r="C83" i="5"/>
  <c r="C81" i="5"/>
  <c r="K83" i="5"/>
  <c r="J80" i="5"/>
  <c r="J83" i="5" s="1"/>
  <c r="J57" i="5"/>
  <c r="K57" i="5"/>
  <c r="L57" i="5"/>
  <c r="M58" i="5"/>
  <c r="M59" i="5"/>
  <c r="M60" i="5"/>
  <c r="K13" i="5"/>
  <c r="K16" i="5" s="1"/>
  <c r="M15" i="5"/>
  <c r="M16" i="7" s="1"/>
  <c r="M14" i="5"/>
  <c r="M22" i="7" s="1"/>
  <c r="M16" i="5"/>
  <c r="K20" i="1"/>
  <c r="F25" i="2"/>
  <c r="F26" i="2" s="1"/>
  <c r="F7" i="2"/>
  <c r="F23" i="2"/>
  <c r="H16" i="1"/>
  <c r="H13" i="1"/>
  <c r="F19" i="1"/>
  <c r="F20" i="1"/>
  <c r="F21" i="1"/>
  <c r="E19" i="1"/>
  <c r="E21" i="1"/>
  <c r="E20" i="1"/>
  <c r="D31" i="7" l="1"/>
  <c r="F37" i="7"/>
  <c r="F19" i="7"/>
  <c r="F31" i="7"/>
  <c r="F25" i="7"/>
  <c r="F43" i="7"/>
  <c r="C17" i="7"/>
  <c r="C19" i="7"/>
  <c r="C18" i="7"/>
  <c r="E35" i="7"/>
  <c r="E36" i="7"/>
  <c r="E37" i="7"/>
  <c r="D30" i="7"/>
  <c r="C23" i="7"/>
  <c r="C24" i="7"/>
  <c r="C25" i="7"/>
  <c r="F42" i="7"/>
  <c r="I30" i="7"/>
  <c r="I42" i="7"/>
  <c r="I36" i="7"/>
  <c r="I31" i="7"/>
  <c r="I25" i="7"/>
  <c r="I19" i="7"/>
  <c r="I43" i="7"/>
  <c r="I37" i="7"/>
  <c r="F38" i="5"/>
  <c r="F35" i="7" s="1"/>
  <c r="D35" i="5"/>
  <c r="J48" i="5"/>
  <c r="J49" i="5" s="1"/>
  <c r="J11" i="7" s="1"/>
  <c r="J71" i="5"/>
  <c r="J72" i="5" s="1"/>
  <c r="J12" i="7" s="1"/>
  <c r="D36" i="5"/>
  <c r="F39" i="5"/>
  <c r="F29" i="7" s="1"/>
  <c r="E35" i="5"/>
  <c r="E37" i="5"/>
  <c r="E36" i="5"/>
  <c r="F35" i="5"/>
  <c r="F23" i="7" s="1"/>
  <c r="F37" i="5"/>
  <c r="F36" i="5"/>
  <c r="F17" i="7" s="1"/>
  <c r="F58" i="5"/>
  <c r="F59" i="5"/>
  <c r="F60" i="5"/>
  <c r="G35" i="5"/>
  <c r="G23" i="7" s="1"/>
  <c r="G37" i="5"/>
  <c r="G36" i="5"/>
  <c r="G17" i="7" s="1"/>
  <c r="G58" i="5"/>
  <c r="G24" i="7" s="1"/>
  <c r="G59" i="5"/>
  <c r="G18" i="7" s="1"/>
  <c r="G60" i="5"/>
  <c r="H35" i="5"/>
  <c r="H23" i="7" s="1"/>
  <c r="H37" i="5"/>
  <c r="H36" i="5"/>
  <c r="H17" i="7" s="1"/>
  <c r="J31" i="5"/>
  <c r="J33" i="5" s="1"/>
  <c r="J38" i="5" s="1"/>
  <c r="J35" i="7" s="1"/>
  <c r="K24" i="5"/>
  <c r="K41" i="7" s="1"/>
  <c r="K32" i="5"/>
  <c r="L29" i="5"/>
  <c r="L25" i="5" s="1"/>
  <c r="I39" i="5"/>
  <c r="I29" i="7" s="1"/>
  <c r="I34" i="5"/>
  <c r="I58" i="5"/>
  <c r="I24" i="7" s="1"/>
  <c r="I59" i="5"/>
  <c r="I18" i="7" s="1"/>
  <c r="I60" i="5"/>
  <c r="D14" i="5"/>
  <c r="D22" i="7" s="1"/>
  <c r="D15" i="5"/>
  <c r="D16" i="7" s="1"/>
  <c r="D16" i="5"/>
  <c r="D58" i="5"/>
  <c r="D59" i="5"/>
  <c r="D60" i="5"/>
  <c r="J81" i="5"/>
  <c r="J82" i="5"/>
  <c r="J58" i="5"/>
  <c r="J59" i="5"/>
  <c r="J60" i="5"/>
  <c r="K58" i="5"/>
  <c r="K59" i="5"/>
  <c r="K60" i="5"/>
  <c r="L58" i="5"/>
  <c r="L59" i="5"/>
  <c r="L60" i="5"/>
  <c r="K14" i="5"/>
  <c r="K22" i="7" s="1"/>
  <c r="K15" i="5"/>
  <c r="K16" i="7" s="1"/>
  <c r="F27" i="2"/>
  <c r="F28" i="2"/>
  <c r="F29" i="2"/>
  <c r="H18" i="1"/>
  <c r="F24" i="7" l="1"/>
  <c r="F36" i="7"/>
  <c r="D17" i="7"/>
  <c r="D18" i="7"/>
  <c r="D19" i="7"/>
  <c r="J42" i="7"/>
  <c r="J24" i="7"/>
  <c r="J36" i="7"/>
  <c r="J30" i="7"/>
  <c r="J18" i="7"/>
  <c r="D23" i="7"/>
  <c r="D25" i="7"/>
  <c r="D24" i="7"/>
  <c r="F18" i="7"/>
  <c r="E17" i="7"/>
  <c r="E18" i="7"/>
  <c r="E19" i="7"/>
  <c r="J31" i="7"/>
  <c r="J25" i="7"/>
  <c r="J19" i="7"/>
  <c r="J43" i="7"/>
  <c r="J37" i="7"/>
  <c r="F30" i="7"/>
  <c r="E23" i="7"/>
  <c r="E25" i="7"/>
  <c r="E24" i="7"/>
  <c r="K48" i="5"/>
  <c r="K49" i="5" s="1"/>
  <c r="K11" i="7" s="1"/>
  <c r="K71" i="5"/>
  <c r="K72" i="5" s="1"/>
  <c r="K12" i="7" s="1"/>
  <c r="M29" i="5"/>
  <c r="M25" i="5" s="1"/>
  <c r="M32" i="5" s="1"/>
  <c r="K31" i="5"/>
  <c r="K33" i="5" s="1"/>
  <c r="K38" i="5" s="1"/>
  <c r="K35" i="7" s="1"/>
  <c r="J39" i="5"/>
  <c r="J29" i="7" s="1"/>
  <c r="J34" i="5"/>
  <c r="J35" i="5" s="1"/>
  <c r="J23" i="7" s="1"/>
  <c r="L32" i="5"/>
  <c r="L24" i="5"/>
  <c r="L41" i="7" s="1"/>
  <c r="I35" i="5"/>
  <c r="I23" i="7" s="1"/>
  <c r="I37" i="5"/>
  <c r="I36" i="5"/>
  <c r="I17" i="7" s="1"/>
  <c r="H20" i="1"/>
  <c r="H19" i="1"/>
  <c r="H21" i="1"/>
  <c r="K31" i="7" l="1"/>
  <c r="K43" i="7"/>
  <c r="K25" i="7"/>
  <c r="K19" i="7"/>
  <c r="K37" i="7"/>
  <c r="K42" i="7"/>
  <c r="K24" i="7"/>
  <c r="K30" i="7"/>
  <c r="K18" i="7"/>
  <c r="K36" i="7"/>
  <c r="M24" i="5"/>
  <c r="M41" i="7" s="1"/>
  <c r="L48" i="5"/>
  <c r="L49" i="5" s="1"/>
  <c r="L11" i="7" s="1"/>
  <c r="L71" i="5"/>
  <c r="L72" i="5" s="1"/>
  <c r="L12" i="7" s="1"/>
  <c r="L31" i="5"/>
  <c r="L33" i="5" s="1"/>
  <c r="L38" i="5" s="1"/>
  <c r="L35" i="7" s="1"/>
  <c r="J37" i="5"/>
  <c r="J36" i="5"/>
  <c r="J17" i="7" s="1"/>
  <c r="K34" i="5"/>
  <c r="K39" i="5"/>
  <c r="K29" i="7" s="1"/>
  <c r="L42" i="7" l="1"/>
  <c r="L24" i="7"/>
  <c r="L18" i="7"/>
  <c r="L36" i="7"/>
  <c r="L30" i="7"/>
  <c r="L43" i="7"/>
  <c r="L25" i="7"/>
  <c r="L19" i="7"/>
  <c r="L37" i="7"/>
  <c r="L31" i="7"/>
  <c r="M31" i="5"/>
  <c r="M33" i="5" s="1"/>
  <c r="M38" i="5" s="1"/>
  <c r="M35" i="7" s="1"/>
  <c r="M71" i="5"/>
  <c r="M72" i="5" s="1"/>
  <c r="M12" i="7" s="1"/>
  <c r="M48" i="5"/>
  <c r="M49" i="5" s="1"/>
  <c r="L39" i="5"/>
  <c r="L29" i="7" s="1"/>
  <c r="L34" i="5"/>
  <c r="K35" i="5"/>
  <c r="K23" i="7" s="1"/>
  <c r="K37" i="5"/>
  <c r="K36" i="5"/>
  <c r="K17" i="7" s="1"/>
  <c r="M39" i="5" l="1"/>
  <c r="M29" i="7" s="1"/>
  <c r="M43" i="7"/>
  <c r="M25" i="7"/>
  <c r="M19" i="7"/>
  <c r="M37" i="7"/>
  <c r="M31" i="7"/>
  <c r="M34" i="5"/>
  <c r="M35" i="5" s="1"/>
  <c r="M23" i="7" s="1"/>
  <c r="M11" i="7"/>
  <c r="M37" i="5"/>
  <c r="M36" i="5"/>
  <c r="M17" i="7" s="1"/>
  <c r="L35" i="5"/>
  <c r="L23" i="7" s="1"/>
  <c r="L36" i="5"/>
  <c r="L17" i="7" s="1"/>
  <c r="L37" i="5"/>
  <c r="C13" i="1"/>
  <c r="C16" i="1"/>
  <c r="C18" i="1" s="1"/>
  <c r="M42" i="7" l="1"/>
  <c r="M24" i="7"/>
  <c r="M36" i="7"/>
  <c r="M18" i="7"/>
  <c r="M30" i="7"/>
  <c r="C20" i="1"/>
  <c r="C19" i="1"/>
  <c r="C21" i="1"/>
  <c r="D20" i="2"/>
  <c r="D23" i="2" s="1"/>
  <c r="D34" i="2" l="1"/>
  <c r="D33" i="2"/>
  <c r="D24" i="2"/>
  <c r="D9" i="2" l="1"/>
  <c r="D32" i="2"/>
  <c r="D30" i="2"/>
  <c r="D31" i="2"/>
  <c r="D18" i="2" l="1"/>
  <c r="D22" i="2"/>
  <c r="D25" i="2" l="1"/>
  <c r="D27" i="2" l="1"/>
  <c r="D28" i="2"/>
  <c r="D26" i="2"/>
  <c r="D29" i="2"/>
  <c r="C54" i="5"/>
  <c r="C56" i="5" s="1"/>
  <c r="C61" i="5" l="1"/>
  <c r="C45" i="5"/>
  <c r="C62" i="5"/>
  <c r="C55" i="5" l="1"/>
  <c r="C52" i="5"/>
  <c r="C57" i="5" l="1"/>
  <c r="C60" i="5" s="1"/>
  <c r="C58" i="5" l="1"/>
  <c r="C59" i="5"/>
  <c r="H22" i="2" l="1"/>
  <c r="H25" i="2" s="1"/>
  <c r="H28" i="2" l="1"/>
  <c r="H27" i="2"/>
  <c r="H26" i="2"/>
  <c r="H29" i="2"/>
</calcChain>
</file>

<file path=xl/sharedStrings.xml><?xml version="1.0" encoding="utf-8"?>
<sst xmlns="http://schemas.openxmlformats.org/spreadsheetml/2006/main" count="422" uniqueCount="133">
  <si>
    <t>Notation</t>
  </si>
  <si>
    <t>Investment Angel 1</t>
  </si>
  <si>
    <t>Investment Angel 2</t>
  </si>
  <si>
    <t>Base Case</t>
  </si>
  <si>
    <t xml:space="preserve">SAFE with discount </t>
  </si>
  <si>
    <t xml:space="preserve">Priced round </t>
  </si>
  <si>
    <t>Investment Angel</t>
  </si>
  <si>
    <t>Base case</t>
  </si>
  <si>
    <t>One Angel</t>
  </si>
  <si>
    <t>Two Angels</t>
  </si>
  <si>
    <t>Column #</t>
  </si>
  <si>
    <t>Pre-money cap for Angel</t>
  </si>
  <si>
    <t>Post-money cap for Angel</t>
  </si>
  <si>
    <t xml:space="preserve">Simple Agreements for Future Equity (SAFEs): </t>
  </si>
  <si>
    <t>The not-so-simple search for simplicity</t>
  </si>
  <si>
    <t>This is the spreadsheet accompanying:</t>
  </si>
  <si>
    <t>Priced round</t>
  </si>
  <si>
    <t>SAFE with discount</t>
  </si>
  <si>
    <t>$5M</t>
  </si>
  <si>
    <t>$6M</t>
  </si>
  <si>
    <t>$7M</t>
  </si>
  <si>
    <t>$8M</t>
  </si>
  <si>
    <t>$9M</t>
  </si>
  <si>
    <t>$10M</t>
  </si>
  <si>
    <t>$11M</t>
  </si>
  <si>
    <t>$12M</t>
  </si>
  <si>
    <t>$13M</t>
  </si>
  <si>
    <t>$14M</t>
  </si>
  <si>
    <t>$15M</t>
  </si>
  <si>
    <t>Required input</t>
  </si>
  <si>
    <t>Key model output</t>
  </si>
  <si>
    <t>SAFE with pre-money cap</t>
  </si>
  <si>
    <t>SAFE with post-money cap</t>
  </si>
  <si>
    <t>Investment VC</t>
  </si>
  <si>
    <t xml:space="preserve">Share price paid by Angel </t>
  </si>
  <si>
    <t xml:space="preserve">Share price paid by VC </t>
  </si>
  <si>
    <t>SAFE discount</t>
  </si>
  <si>
    <t>Pre-money, post-SAFE valuation</t>
  </si>
  <si>
    <t>Pre-money, pre-SAFE valuation</t>
  </si>
  <si>
    <t xml:space="preserve">Founders' shares </t>
  </si>
  <si>
    <t>VC's Shares</t>
  </si>
  <si>
    <t>Total Shares at t=1</t>
  </si>
  <si>
    <t>Total Shares at t=Q</t>
  </si>
  <si>
    <t>Founders' ownership  stake at t=Q</t>
  </si>
  <si>
    <t>Angel's ownership  stake at t=Q</t>
  </si>
  <si>
    <t>Angel's shares</t>
  </si>
  <si>
    <t>VC's ownership stake at t=Q</t>
  </si>
  <si>
    <t>Founders' ownership  stake at t=1</t>
  </si>
  <si>
    <t>Angel's ownership stake at t=1</t>
  </si>
  <si>
    <t>Post-money valuation at t=Q</t>
  </si>
  <si>
    <r>
      <t>S</t>
    </r>
    <r>
      <rPr>
        <vertAlign val="subscript"/>
        <sz val="11"/>
        <color theme="1"/>
        <rFont val="Calibri"/>
        <family val="2"/>
        <scheme val="minor"/>
      </rPr>
      <t>0</t>
    </r>
  </si>
  <si>
    <r>
      <t>S</t>
    </r>
    <r>
      <rPr>
        <vertAlign val="subscript"/>
        <sz val="11"/>
        <color theme="1"/>
        <rFont val="Calibri"/>
        <family val="2"/>
        <scheme val="minor"/>
      </rPr>
      <t>1</t>
    </r>
  </si>
  <si>
    <r>
      <t>S</t>
    </r>
    <r>
      <rPr>
        <vertAlign val="subscript"/>
        <sz val="11"/>
        <color theme="1"/>
        <rFont val="Calibri"/>
        <family val="2"/>
        <scheme val="minor"/>
      </rPr>
      <t>Q</t>
    </r>
  </si>
  <si>
    <r>
      <t>T</t>
    </r>
    <r>
      <rPr>
        <vertAlign val="subscript"/>
        <sz val="11"/>
        <color theme="1"/>
        <rFont val="Calibri"/>
        <family val="2"/>
        <scheme val="minor"/>
      </rPr>
      <t>1</t>
    </r>
  </si>
  <si>
    <r>
      <t>T</t>
    </r>
    <r>
      <rPr>
        <vertAlign val="subscript"/>
        <sz val="11"/>
        <color theme="1"/>
        <rFont val="Calibri"/>
        <family val="2"/>
        <scheme val="minor"/>
      </rPr>
      <t>Q</t>
    </r>
  </si>
  <si>
    <r>
      <t>F</t>
    </r>
    <r>
      <rPr>
        <vertAlign val="subscript"/>
        <sz val="11"/>
        <color theme="1"/>
        <rFont val="Calibri"/>
        <family val="2"/>
        <scheme val="minor"/>
      </rPr>
      <t>0</t>
    </r>
    <r>
      <rPr>
        <sz val="11"/>
        <color theme="1"/>
        <rFont val="Calibri"/>
        <family val="2"/>
        <scheme val="minor"/>
      </rPr>
      <t>(Q)</t>
    </r>
  </si>
  <si>
    <r>
      <t>F</t>
    </r>
    <r>
      <rPr>
        <vertAlign val="subscript"/>
        <sz val="11"/>
        <color theme="1"/>
        <rFont val="Calibri"/>
        <family val="2"/>
        <scheme val="minor"/>
      </rPr>
      <t>1</t>
    </r>
    <r>
      <rPr>
        <sz val="11"/>
        <color theme="1"/>
        <rFont val="Calibri"/>
        <family val="2"/>
        <scheme val="minor"/>
      </rPr>
      <t>(Q)</t>
    </r>
  </si>
  <si>
    <r>
      <t>F</t>
    </r>
    <r>
      <rPr>
        <vertAlign val="subscript"/>
        <sz val="11"/>
        <color theme="1"/>
        <rFont val="Calibri"/>
        <family val="2"/>
        <scheme val="minor"/>
      </rPr>
      <t>Q</t>
    </r>
    <r>
      <rPr>
        <sz val="11"/>
        <color theme="1"/>
        <rFont val="Calibri"/>
        <family val="2"/>
        <scheme val="minor"/>
      </rPr>
      <t>(Q)</t>
    </r>
  </si>
  <si>
    <r>
      <t>F</t>
    </r>
    <r>
      <rPr>
        <vertAlign val="subscript"/>
        <sz val="11"/>
        <color theme="1"/>
        <rFont val="Calibri"/>
        <family val="2"/>
        <scheme val="minor"/>
      </rPr>
      <t>0</t>
    </r>
    <r>
      <rPr>
        <sz val="11"/>
        <color theme="1"/>
        <rFont val="Calibri"/>
        <family val="2"/>
        <scheme val="minor"/>
      </rPr>
      <t>(1)</t>
    </r>
  </si>
  <si>
    <r>
      <t>F</t>
    </r>
    <r>
      <rPr>
        <vertAlign val="subscript"/>
        <sz val="11"/>
        <color theme="1"/>
        <rFont val="Calibri"/>
        <family val="2"/>
        <scheme val="minor"/>
      </rPr>
      <t>1</t>
    </r>
    <r>
      <rPr>
        <sz val="11"/>
        <color theme="1"/>
        <rFont val="Calibri"/>
        <family val="2"/>
        <scheme val="minor"/>
      </rPr>
      <t>(1)</t>
    </r>
  </si>
  <si>
    <r>
      <t>I</t>
    </r>
    <r>
      <rPr>
        <vertAlign val="subscript"/>
        <sz val="11"/>
        <color theme="1"/>
        <rFont val="Calibri"/>
        <family val="2"/>
        <scheme val="minor"/>
      </rPr>
      <t>1</t>
    </r>
  </si>
  <si>
    <r>
      <t>I</t>
    </r>
    <r>
      <rPr>
        <vertAlign val="subscript"/>
        <sz val="11"/>
        <color theme="1"/>
        <rFont val="Calibri"/>
        <family val="2"/>
        <scheme val="minor"/>
      </rPr>
      <t>Q</t>
    </r>
  </si>
  <si>
    <r>
      <t>P</t>
    </r>
    <r>
      <rPr>
        <vertAlign val="subscript"/>
        <sz val="11"/>
        <color theme="1"/>
        <rFont val="Calibri"/>
        <family val="2"/>
        <scheme val="minor"/>
      </rPr>
      <t>1</t>
    </r>
  </si>
  <si>
    <r>
      <t>P</t>
    </r>
    <r>
      <rPr>
        <vertAlign val="subscript"/>
        <sz val="11"/>
        <color theme="1"/>
        <rFont val="Calibri"/>
        <family val="2"/>
        <scheme val="minor"/>
      </rPr>
      <t>Q</t>
    </r>
  </si>
  <si>
    <r>
      <t>D</t>
    </r>
    <r>
      <rPr>
        <vertAlign val="subscript"/>
        <sz val="11"/>
        <color theme="1"/>
        <rFont val="Calibri"/>
        <family val="2"/>
        <scheme val="minor"/>
      </rPr>
      <t>1</t>
    </r>
  </si>
  <si>
    <r>
      <t>V</t>
    </r>
    <r>
      <rPr>
        <vertAlign val="subscript"/>
        <sz val="11"/>
        <color theme="1"/>
        <rFont val="Calibri"/>
        <family val="2"/>
        <scheme val="minor"/>
      </rPr>
      <t>CAP</t>
    </r>
    <r>
      <rPr>
        <vertAlign val="superscript"/>
        <sz val="11"/>
        <color theme="1"/>
        <rFont val="Calibri"/>
        <family val="2"/>
        <scheme val="minor"/>
      </rPr>
      <t>PRE</t>
    </r>
  </si>
  <si>
    <r>
      <t>V</t>
    </r>
    <r>
      <rPr>
        <vertAlign val="subscript"/>
        <sz val="11"/>
        <color theme="1"/>
        <rFont val="Calibri"/>
        <family val="2"/>
        <scheme val="minor"/>
      </rPr>
      <t>CAP</t>
    </r>
    <r>
      <rPr>
        <vertAlign val="superscript"/>
        <sz val="11"/>
        <color theme="1"/>
        <rFont val="Calibri"/>
        <family val="2"/>
        <scheme val="minor"/>
      </rPr>
      <t>POST</t>
    </r>
  </si>
  <si>
    <r>
      <t>V</t>
    </r>
    <r>
      <rPr>
        <vertAlign val="subscript"/>
        <sz val="11"/>
        <color theme="1"/>
        <rFont val="Calibri"/>
        <family val="2"/>
        <scheme val="minor"/>
      </rPr>
      <t>POST</t>
    </r>
  </si>
  <si>
    <r>
      <t>V</t>
    </r>
    <r>
      <rPr>
        <vertAlign val="subscript"/>
        <sz val="11"/>
        <color theme="1"/>
        <rFont val="Calibri"/>
        <family val="2"/>
        <scheme val="minor"/>
      </rPr>
      <t>PRE</t>
    </r>
    <r>
      <rPr>
        <vertAlign val="superscript"/>
        <sz val="11"/>
        <color theme="1"/>
        <rFont val="Calibri"/>
        <family val="2"/>
        <scheme val="minor"/>
      </rPr>
      <t>POST-SAFE</t>
    </r>
  </si>
  <si>
    <r>
      <t>V</t>
    </r>
    <r>
      <rPr>
        <vertAlign val="subscript"/>
        <sz val="11"/>
        <color theme="1"/>
        <rFont val="Calibri"/>
        <family val="2"/>
        <scheme val="minor"/>
      </rPr>
      <t>PRE</t>
    </r>
    <r>
      <rPr>
        <vertAlign val="superscript"/>
        <sz val="11"/>
        <color theme="1"/>
        <rFont val="Calibri"/>
        <family val="2"/>
        <scheme val="minor"/>
      </rPr>
      <t>PRE-SAFE</t>
    </r>
  </si>
  <si>
    <r>
      <t>I</t>
    </r>
    <r>
      <rPr>
        <vertAlign val="subscript"/>
        <sz val="11"/>
        <color theme="1"/>
        <rFont val="Calibri"/>
        <family val="2"/>
        <scheme val="minor"/>
      </rPr>
      <t>2</t>
    </r>
  </si>
  <si>
    <t>Share price paid by Angel  1</t>
  </si>
  <si>
    <t>Share price paid by Angel 2</t>
  </si>
  <si>
    <r>
      <t>P</t>
    </r>
    <r>
      <rPr>
        <vertAlign val="subscript"/>
        <sz val="11"/>
        <color theme="1"/>
        <rFont val="Calibri"/>
        <family val="2"/>
        <scheme val="minor"/>
      </rPr>
      <t>2</t>
    </r>
  </si>
  <si>
    <t>Pre-money cap for Angel 1</t>
  </si>
  <si>
    <r>
      <t>V</t>
    </r>
    <r>
      <rPr>
        <vertAlign val="subscript"/>
        <sz val="11"/>
        <color theme="1"/>
        <rFont val="Calibri"/>
        <family val="2"/>
        <scheme val="minor"/>
      </rPr>
      <t>1,CAP</t>
    </r>
    <r>
      <rPr>
        <vertAlign val="superscript"/>
        <sz val="11"/>
        <color theme="1"/>
        <rFont val="Calibri"/>
        <family val="2"/>
        <scheme val="minor"/>
      </rPr>
      <t>PRE</t>
    </r>
  </si>
  <si>
    <r>
      <t>V</t>
    </r>
    <r>
      <rPr>
        <vertAlign val="subscript"/>
        <sz val="11"/>
        <color theme="1"/>
        <rFont val="Calibri"/>
        <family val="2"/>
        <scheme val="minor"/>
      </rPr>
      <t>2,CAP</t>
    </r>
    <r>
      <rPr>
        <vertAlign val="superscript"/>
        <sz val="11"/>
        <color theme="1"/>
        <rFont val="Calibri"/>
        <family val="2"/>
        <scheme val="minor"/>
      </rPr>
      <t>PRE</t>
    </r>
  </si>
  <si>
    <t>Pre-money cap for Angel 2</t>
  </si>
  <si>
    <t>Post-money cap for Angel 1</t>
  </si>
  <si>
    <r>
      <t>V</t>
    </r>
    <r>
      <rPr>
        <vertAlign val="subscript"/>
        <sz val="11"/>
        <color theme="1"/>
        <rFont val="Calibri"/>
        <family val="2"/>
        <scheme val="minor"/>
      </rPr>
      <t>1,CAP</t>
    </r>
    <r>
      <rPr>
        <vertAlign val="superscript"/>
        <sz val="11"/>
        <color theme="1"/>
        <rFont val="Calibri"/>
        <family val="2"/>
        <scheme val="minor"/>
      </rPr>
      <t>POST</t>
    </r>
  </si>
  <si>
    <t>Post-money cap for Angel 2</t>
  </si>
  <si>
    <r>
      <t>V</t>
    </r>
    <r>
      <rPr>
        <vertAlign val="subscript"/>
        <sz val="11"/>
        <color theme="1"/>
        <rFont val="Calibri"/>
        <family val="2"/>
        <scheme val="minor"/>
      </rPr>
      <t>2,CAP</t>
    </r>
    <r>
      <rPr>
        <vertAlign val="superscript"/>
        <sz val="11"/>
        <color theme="1"/>
        <rFont val="Calibri"/>
        <family val="2"/>
        <scheme val="minor"/>
      </rPr>
      <t>POST</t>
    </r>
  </si>
  <si>
    <t>Angel 1's shares</t>
  </si>
  <si>
    <t>Angel 2's shares</t>
  </si>
  <si>
    <r>
      <t>S</t>
    </r>
    <r>
      <rPr>
        <vertAlign val="subscript"/>
        <sz val="11"/>
        <color theme="1"/>
        <rFont val="Calibri"/>
        <family val="2"/>
        <scheme val="minor"/>
      </rPr>
      <t>2</t>
    </r>
  </si>
  <si>
    <t>Total Shares at t=2</t>
  </si>
  <si>
    <r>
      <t>T</t>
    </r>
    <r>
      <rPr>
        <vertAlign val="subscript"/>
        <sz val="11"/>
        <color theme="1"/>
        <rFont val="Calibri"/>
        <family val="2"/>
        <scheme val="minor"/>
      </rPr>
      <t>2</t>
    </r>
  </si>
  <si>
    <t>Angel 1's ownership  stake at t=Q</t>
  </si>
  <si>
    <t>Angel 2's ownership  stake at t=Q</t>
  </si>
  <si>
    <r>
      <t>F</t>
    </r>
    <r>
      <rPr>
        <vertAlign val="subscript"/>
        <sz val="11"/>
        <color theme="1"/>
        <rFont val="Calibri"/>
        <family val="2"/>
        <scheme val="minor"/>
      </rPr>
      <t>2</t>
    </r>
    <r>
      <rPr>
        <sz val="11"/>
        <color theme="1"/>
        <rFont val="Calibri"/>
        <family val="2"/>
        <scheme val="minor"/>
      </rPr>
      <t>(Q)</t>
    </r>
  </si>
  <si>
    <t>Angel 1's ownership stake at t=2</t>
  </si>
  <si>
    <r>
      <t>F</t>
    </r>
    <r>
      <rPr>
        <vertAlign val="subscript"/>
        <sz val="11"/>
        <color theme="1"/>
        <rFont val="Calibri"/>
        <family val="2"/>
        <scheme val="minor"/>
      </rPr>
      <t>1</t>
    </r>
    <r>
      <rPr>
        <sz val="11"/>
        <color theme="1"/>
        <rFont val="Calibri"/>
        <family val="2"/>
        <scheme val="minor"/>
      </rPr>
      <t>(2)</t>
    </r>
  </si>
  <si>
    <r>
      <t>F</t>
    </r>
    <r>
      <rPr>
        <vertAlign val="subscript"/>
        <sz val="11"/>
        <color theme="1"/>
        <rFont val="Calibri"/>
        <family val="2"/>
        <scheme val="minor"/>
      </rPr>
      <t>2</t>
    </r>
    <r>
      <rPr>
        <sz val="11"/>
        <color theme="1"/>
        <rFont val="Calibri"/>
        <family val="2"/>
        <scheme val="minor"/>
      </rPr>
      <t>(2)</t>
    </r>
  </si>
  <si>
    <t>Founders' ownership  stake at t=2</t>
  </si>
  <si>
    <t>Angel 1's ownership stake at t=1</t>
  </si>
  <si>
    <t>Angel 2's ownership stake at t=2</t>
  </si>
  <si>
    <t>Meaning of colors in the following tabs</t>
  </si>
  <si>
    <t xml:space="preserve">SAFE with pre-money cap </t>
  </si>
  <si>
    <t xml:space="preserve">SAFE with post-money cap </t>
  </si>
  <si>
    <t xml:space="preserve"> </t>
  </si>
  <si>
    <t>Higher VC post-money valuation</t>
  </si>
  <si>
    <t>Priced angel round</t>
  </si>
  <si>
    <t>Share price paid by Angel (capped)</t>
  </si>
  <si>
    <t>Uncapped discounted angel price</t>
  </si>
  <si>
    <t>* IMPORTANT: All the columns with a red cell for the binding cap question are not to be used. The calculations assume a binding cap, but the red cell indicates that the condition for the cap to be binding is not satisfied. The correct answers can then always be found in the table for 'SAFE with discount' which assume no binding cap.</t>
  </si>
  <si>
    <t>Is post-cap binding? *</t>
  </si>
  <si>
    <t>Is pre-cap binding? *</t>
  </si>
  <si>
    <t>Discount Angel 1</t>
  </si>
  <si>
    <t>Discount Angel 2</t>
  </si>
  <si>
    <r>
      <t>D</t>
    </r>
    <r>
      <rPr>
        <vertAlign val="subscript"/>
        <sz val="11"/>
        <color theme="1"/>
        <rFont val="Calibri"/>
        <family val="2"/>
        <scheme val="minor"/>
      </rPr>
      <t>2</t>
    </r>
  </si>
  <si>
    <r>
      <t>P</t>
    </r>
    <r>
      <rPr>
        <vertAlign val="subscript"/>
        <sz val="11"/>
        <color theme="1"/>
        <rFont val="Calibri"/>
        <family val="2"/>
        <scheme val="minor"/>
      </rPr>
      <t>1</t>
    </r>
    <r>
      <rPr>
        <sz val="11"/>
        <color theme="1"/>
        <rFont val="Calibri"/>
        <family val="2"/>
        <scheme val="minor"/>
      </rPr>
      <t xml:space="preserve"> (disc)</t>
    </r>
  </si>
  <si>
    <r>
      <t>P</t>
    </r>
    <r>
      <rPr>
        <vertAlign val="subscript"/>
        <sz val="11"/>
        <color theme="1"/>
        <rFont val="Calibri"/>
        <family val="2"/>
        <scheme val="minor"/>
      </rPr>
      <t>1</t>
    </r>
    <r>
      <rPr>
        <sz val="11"/>
        <color theme="1"/>
        <rFont val="Calibri"/>
        <family val="2"/>
        <scheme val="minor"/>
      </rPr>
      <t xml:space="preserve"> (cap)</t>
    </r>
  </si>
  <si>
    <r>
      <t>P</t>
    </r>
    <r>
      <rPr>
        <vertAlign val="subscript"/>
        <sz val="11"/>
        <color theme="1"/>
        <rFont val="Calibri"/>
        <family val="2"/>
        <scheme val="minor"/>
      </rPr>
      <t>1</t>
    </r>
    <r>
      <rPr>
        <sz val="11"/>
        <color theme="1"/>
        <rFont val="Calibri"/>
        <family val="2"/>
        <scheme val="minor"/>
      </rPr>
      <t xml:space="preserve"> (cap) &lt; P</t>
    </r>
    <r>
      <rPr>
        <vertAlign val="subscript"/>
        <sz val="11"/>
        <color theme="1"/>
        <rFont val="Calibri"/>
        <family val="2"/>
        <scheme val="minor"/>
      </rPr>
      <t>1</t>
    </r>
    <r>
      <rPr>
        <sz val="11"/>
        <color theme="1"/>
        <rFont val="Calibri"/>
        <family val="2"/>
        <scheme val="minor"/>
      </rPr>
      <t xml:space="preserve"> (disc)</t>
    </r>
  </si>
  <si>
    <r>
      <t>P</t>
    </r>
    <r>
      <rPr>
        <vertAlign val="subscript"/>
        <sz val="11"/>
        <color theme="1"/>
        <rFont val="Calibri"/>
        <family val="2"/>
        <scheme val="minor"/>
      </rPr>
      <t>1</t>
    </r>
    <r>
      <rPr>
        <sz val="11"/>
        <color theme="1"/>
        <rFont val="Calibri"/>
        <family val="2"/>
        <scheme val="minor"/>
      </rPr>
      <t xml:space="preserve"> (cap) </t>
    </r>
  </si>
  <si>
    <t>SAFE with BINDING pre-money valuation cap</t>
  </si>
  <si>
    <t>SAFE with BINDING post-money valuation cap</t>
  </si>
  <si>
    <t>(For labelling of graphs)</t>
  </si>
  <si>
    <t>Key inputs</t>
  </si>
  <si>
    <t>Angel share price</t>
  </si>
  <si>
    <t>Founders' ownership stake in VC post-money</t>
  </si>
  <si>
    <t>Angel's ownership  stake in VC post-money</t>
  </si>
  <si>
    <t>VC's ownership stake in VC post-money</t>
  </si>
  <si>
    <t>Founders' ownership  stake in VC pre-money</t>
  </si>
  <si>
    <t>Angel's ownership stake in VC pre-money</t>
  </si>
  <si>
    <t>Angel ownership (in post-money)</t>
  </si>
  <si>
    <t>Founder ownership (in post-money)</t>
  </si>
  <si>
    <t>Angel ownership (in pre-money)</t>
  </si>
  <si>
    <t>Founder ownership (in pre-money)</t>
  </si>
  <si>
    <t>© 2024 Marco Da Rin and Thomas Hellmann</t>
  </si>
  <si>
    <t>Post-money valuation at t=1</t>
  </si>
  <si>
    <t>Partially binding post-money caps</t>
  </si>
  <si>
    <t>Only first post-money cap binding</t>
  </si>
  <si>
    <t>Only second post-money cap binding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</si>
</sst>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0"/>
    <numFmt numFmtId="165" formatCode="[$$-409]#,##0.00"/>
    <numFmt numFmtId="166" formatCode="[$$-1009]#,##0"/>
    <numFmt numFmtId="167" formatCode="&quot;$&quot;#,##0"/>
    <numFmt numFmtId="168" formatCode="0.0%"/>
    <numFmt numFmtId="169" formatCode="[$$-1009]#,##0.00"/>
  </numFmts>
  <fonts count="6" x14ac:knownFonts="1">
    <font>
      <sz val="11"/>
      <color theme="1"/>
      <name val="Calibri"/>
      <family val="2"/>
      <scheme val="minor"/>
    </font>
    <font>
      <b/>
      <sz val="12"/>
      <color theme="1"/>
      <name val="Calibri"/>
      <family val="2"/>
      <scheme val="minor"/>
    </font>
    <font>
      <b/>
      <sz val="11"/>
      <color theme="1"/>
      <name val="Calibri"/>
      <family val="2"/>
      <scheme val="minor"/>
    </font>
    <font>
      <vertAlign val="subscript"/>
      <sz val="11"/>
      <color theme="1"/>
      <name val="Calibri"/>
      <family val="2"/>
      <scheme val="minor"/>
    </font>
    <font>
      <vertAlign val="superscript"/>
      <sz val="11"/>
      <color theme="1"/>
      <name val="Calibri"/>
      <family val="2"/>
      <scheme val="minor"/>
    </font>
    <font>
      <sz val="11"/>
      <name val="Calibri"/>
      <family val="2"/>
      <scheme val="minor"/>
    </font>
  </fonts>
  <fills count="9">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2"/>
        <bgColor indexed="64"/>
      </patternFill>
    </fill>
    <fill>
      <patternFill patternType="solid">
        <fgColor theme="6"/>
        <bgColor indexed="64"/>
      </patternFill>
    </fill>
    <fill>
      <patternFill patternType="solid">
        <fgColor rgb="FFFF0000"/>
        <bgColor indexed="64"/>
      </patternFill>
    </fill>
    <fill>
      <patternFill patternType="solid">
        <fgColor theme="0" tint="-0.34998626667073579"/>
        <bgColor indexed="64"/>
      </patternFill>
    </fill>
    <fill>
      <patternFill patternType="solid">
        <fgColor theme="2" tint="-0.249977111117893"/>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3">
    <xf numFmtId="0" fontId="0" fillId="0" borderId="0" xfId="0"/>
    <xf numFmtId="3" fontId="0" fillId="0" borderId="0" xfId="0" applyNumberFormat="1"/>
    <xf numFmtId="10" fontId="0" fillId="0" borderId="0" xfId="0" applyNumberFormat="1"/>
    <xf numFmtId="165" fontId="0" fillId="0" borderId="0" xfId="0" applyNumberFormat="1"/>
    <xf numFmtId="164" fontId="0" fillId="0" borderId="0" xfId="0" applyNumberFormat="1"/>
    <xf numFmtId="0" fontId="0" fillId="0" borderId="1" xfId="0" applyBorder="1"/>
    <xf numFmtId="3" fontId="0" fillId="0" borderId="1" xfId="0" applyNumberFormat="1" applyBorder="1"/>
    <xf numFmtId="10" fontId="0" fillId="0" borderId="1" xfId="0" applyNumberFormat="1" applyBorder="1"/>
    <xf numFmtId="164" fontId="0" fillId="0" borderId="1" xfId="0" applyNumberFormat="1" applyBorder="1"/>
    <xf numFmtId="165" fontId="0" fillId="0" borderId="1" xfId="0" applyNumberFormat="1" applyBorder="1"/>
    <xf numFmtId="3" fontId="0" fillId="2" borderId="0" xfId="0" applyNumberFormat="1" applyFill="1"/>
    <xf numFmtId="164" fontId="0" fillId="2" borderId="1" xfId="0" applyNumberFormat="1" applyFill="1" applyBorder="1"/>
    <xf numFmtId="164" fontId="0" fillId="2" borderId="0" xfId="0" applyNumberFormat="1" applyFill="1"/>
    <xf numFmtId="0" fontId="0" fillId="0" borderId="1" xfId="0" applyBorder="1" applyAlignment="1">
      <alignment vertical="top" wrapText="1"/>
    </xf>
    <xf numFmtId="0" fontId="0" fillId="0" borderId="0" xfId="0" applyAlignment="1">
      <alignment vertical="top" wrapText="1"/>
    </xf>
    <xf numFmtId="166" fontId="0" fillId="0" borderId="0" xfId="0" applyNumberFormat="1"/>
    <xf numFmtId="166" fontId="0" fillId="2" borderId="0" xfId="0" applyNumberFormat="1" applyFill="1"/>
    <xf numFmtId="0" fontId="0" fillId="3" borderId="1" xfId="0" applyFill="1" applyBorder="1"/>
    <xf numFmtId="0" fontId="0" fillId="3" borderId="1" xfId="0" applyFill="1" applyBorder="1" applyAlignment="1">
      <alignment horizontal="center"/>
    </xf>
    <xf numFmtId="0" fontId="1" fillId="0" borderId="0" xfId="0" applyFont="1"/>
    <xf numFmtId="0" fontId="2" fillId="0" borderId="0" xfId="0" applyFont="1"/>
    <xf numFmtId="0" fontId="0" fillId="0" borderId="2" xfId="0" applyBorder="1"/>
    <xf numFmtId="0" fontId="0" fillId="0" borderId="3" xfId="0" applyBorder="1"/>
    <xf numFmtId="164" fontId="0" fillId="4" borderId="0" xfId="0" applyNumberFormat="1" applyFill="1"/>
    <xf numFmtId="164" fontId="0" fillId="4" borderId="1" xfId="0" applyNumberFormat="1" applyFill="1" applyBorder="1"/>
    <xf numFmtId="3" fontId="0" fillId="4" borderId="0" xfId="0" applyNumberFormat="1" applyFill="1"/>
    <xf numFmtId="3" fontId="0" fillId="4" borderId="1" xfId="0" applyNumberFormat="1" applyFill="1" applyBorder="1"/>
    <xf numFmtId="166" fontId="0" fillId="4" borderId="0" xfId="0" applyNumberFormat="1" applyFill="1"/>
    <xf numFmtId="166" fontId="0" fillId="4" borderId="1" xfId="0" applyNumberFormat="1" applyFill="1" applyBorder="1"/>
    <xf numFmtId="165" fontId="0" fillId="4" borderId="1" xfId="0" applyNumberFormat="1" applyFill="1" applyBorder="1"/>
    <xf numFmtId="165" fontId="0" fillId="4" borderId="0" xfId="0" applyNumberFormat="1" applyFill="1"/>
    <xf numFmtId="165" fontId="0" fillId="2" borderId="0" xfId="0" applyNumberFormat="1" applyFill="1"/>
    <xf numFmtId="9" fontId="0" fillId="2" borderId="0" xfId="0" applyNumberFormat="1" applyFill="1"/>
    <xf numFmtId="0" fontId="0" fillId="5" borderId="1" xfId="0" applyFill="1" applyBorder="1"/>
    <xf numFmtId="0" fontId="0" fillId="5" borderId="0" xfId="0" applyFill="1"/>
    <xf numFmtId="9" fontId="0" fillId="2" borderId="3" xfId="0" applyNumberFormat="1" applyFill="1" applyBorder="1"/>
    <xf numFmtId="167" fontId="0" fillId="4" borderId="0" xfId="0" applyNumberFormat="1" applyFill="1" applyAlignment="1">
      <alignment horizontal="center"/>
    </xf>
    <xf numFmtId="3" fontId="0" fillId="2" borderId="0" xfId="0" applyNumberFormat="1" applyFill="1" applyAlignment="1">
      <alignment horizontal="center"/>
    </xf>
    <xf numFmtId="0" fontId="0" fillId="5" borderId="1" xfId="0" applyFill="1" applyBorder="1" applyAlignment="1">
      <alignment horizontal="center"/>
    </xf>
    <xf numFmtId="168" fontId="0" fillId="0" borderId="0" xfId="0" applyNumberFormat="1"/>
    <xf numFmtId="168" fontId="0" fillId="0" borderId="1" xfId="0" applyNumberFormat="1" applyBorder="1"/>
    <xf numFmtId="0" fontId="5" fillId="3" borderId="1" xfId="0" applyFont="1" applyFill="1" applyBorder="1" applyAlignment="1">
      <alignment horizontal="center"/>
    </xf>
    <xf numFmtId="0" fontId="5" fillId="3" borderId="1" xfId="0" applyFont="1" applyFill="1" applyBorder="1"/>
    <xf numFmtId="3" fontId="0" fillId="0" borderId="1" xfId="0" applyNumberFormat="1" applyBorder="1" applyAlignment="1">
      <alignment horizontal="center" vertical="top" wrapText="1"/>
    </xf>
    <xf numFmtId="0" fontId="0" fillId="0" borderId="1" xfId="0" applyBorder="1" applyAlignment="1">
      <alignment horizontal="center" vertical="top" wrapText="1"/>
    </xf>
    <xf numFmtId="4" fontId="0" fillId="0" borderId="0" xfId="0" applyNumberFormat="1"/>
    <xf numFmtId="0" fontId="0" fillId="5" borderId="0" xfId="0" applyFill="1" applyAlignment="1">
      <alignment horizontal="center"/>
    </xf>
    <xf numFmtId="0" fontId="0" fillId="6" borderId="0" xfId="0" applyFill="1" applyAlignment="1">
      <alignment wrapText="1"/>
    </xf>
    <xf numFmtId="9" fontId="0" fillId="2" borderId="1" xfId="0" applyNumberFormat="1" applyFill="1" applyBorder="1"/>
    <xf numFmtId="9" fontId="0" fillId="2" borderId="2" xfId="0" applyNumberFormat="1" applyFill="1" applyBorder="1"/>
    <xf numFmtId="0" fontId="0" fillId="0" borderId="0" xfId="0" applyAlignment="1">
      <alignment horizontal="center"/>
    </xf>
    <xf numFmtId="0" fontId="5" fillId="0" borderId="2" xfId="0" applyFont="1" applyBorder="1" applyAlignment="1">
      <alignment horizontal="center"/>
    </xf>
    <xf numFmtId="166" fontId="0" fillId="0" borderId="1" xfId="0" applyNumberFormat="1" applyBorder="1"/>
    <xf numFmtId="0" fontId="0" fillId="4" borderId="0" xfId="0" applyFill="1"/>
    <xf numFmtId="164" fontId="5" fillId="4" borderId="0" xfId="0" applyNumberFormat="1" applyFont="1" applyFill="1"/>
    <xf numFmtId="0" fontId="2" fillId="7" borderId="0" xfId="0" applyFont="1" applyFill="1"/>
    <xf numFmtId="169" fontId="0" fillId="0" borderId="0" xfId="0" applyNumberFormat="1"/>
    <xf numFmtId="164" fontId="5" fillId="0" borderId="1" xfId="0" applyNumberFormat="1" applyFont="1" applyBorder="1"/>
    <xf numFmtId="164" fontId="0" fillId="0" borderId="3" xfId="0" applyNumberFormat="1" applyBorder="1"/>
    <xf numFmtId="166" fontId="0" fillId="0" borderId="3" xfId="0" applyNumberFormat="1" applyBorder="1"/>
    <xf numFmtId="0" fontId="0" fillId="8" borderId="3" xfId="0" applyFill="1" applyBorder="1"/>
    <xf numFmtId="9" fontId="0" fillId="0" borderId="1" xfId="0" applyNumberFormat="1" applyBorder="1"/>
    <xf numFmtId="0" fontId="0" fillId="5" borderId="1"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Angel ownership </a:t>
            </a:r>
          </a:p>
          <a:p>
            <a:pPr>
              <a:defRPr/>
            </a:pPr>
            <a:r>
              <a:rPr lang="en-GB"/>
              <a:t>(in post-money)</a:t>
            </a:r>
          </a:p>
        </c:rich>
      </c:tx>
      <c:layout>
        <c:manualLayout>
          <c:xMode val="edge"/>
          <c:yMode val="edge"/>
          <c:x val="0.23893744531933508"/>
          <c:y val="3.2407407407407406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'Comparison of SAFEs'!$B$16</c:f>
              <c:strCache>
                <c:ptCount val="1"/>
                <c:pt idx="0">
                  <c:v>Priced angel round</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'Comparison of SAFEs'!$C$15:$M$15</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SAFEs'!$C$16:$M$16</c:f>
              <c:numCache>
                <c:formatCode>0.00%</c:formatCode>
                <c:ptCount val="11"/>
                <c:pt idx="0">
                  <c:v>3.7499999999999999E-2</c:v>
                </c:pt>
                <c:pt idx="1">
                  <c:v>4.1666666666666664E-2</c:v>
                </c:pt>
                <c:pt idx="2">
                  <c:v>4.4642857142857144E-2</c:v>
                </c:pt>
                <c:pt idx="3">
                  <c:v>4.6875E-2</c:v>
                </c:pt>
                <c:pt idx="4">
                  <c:v>4.8611111111111105E-2</c:v>
                </c:pt>
                <c:pt idx="5">
                  <c:v>0.05</c:v>
                </c:pt>
                <c:pt idx="6">
                  <c:v>5.113636363636364E-2</c:v>
                </c:pt>
                <c:pt idx="7">
                  <c:v>5.2083333333333336E-2</c:v>
                </c:pt>
                <c:pt idx="8">
                  <c:v>5.2884615384615384E-2</c:v>
                </c:pt>
                <c:pt idx="9">
                  <c:v>5.3571428571428568E-2</c:v>
                </c:pt>
                <c:pt idx="10">
                  <c:v>5.4166666666666662E-2</c:v>
                </c:pt>
              </c:numCache>
            </c:numRef>
          </c:val>
          <c:smooth val="0"/>
          <c:extLst>
            <c:ext xmlns:c16="http://schemas.microsoft.com/office/drawing/2014/chart" uri="{C3380CC4-5D6E-409C-BE32-E72D297353CC}">
              <c16:uniqueId val="{00000000-7AFD-4317-93D3-E125D382EA46}"/>
            </c:ext>
          </c:extLst>
        </c:ser>
        <c:ser>
          <c:idx val="1"/>
          <c:order val="1"/>
          <c:tx>
            <c:strRef>
              <c:f>'Comparison of SAFEs'!$B$17</c:f>
              <c:strCache>
                <c:ptCount val="1"/>
                <c:pt idx="0">
                  <c:v>SAFE with discount </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'Comparison of SAFEs'!$C$15:$M$15</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SAFEs'!$C$17:$M$17</c:f>
              <c:numCache>
                <c:formatCode>0.00%</c:formatCode>
                <c:ptCount val="11"/>
                <c:pt idx="0">
                  <c:v>0.11428571428571428</c:v>
                </c:pt>
                <c:pt idx="1">
                  <c:v>9.5238095238095247E-2</c:v>
                </c:pt>
                <c:pt idx="2">
                  <c:v>8.1632653061224483E-2</c:v>
                </c:pt>
                <c:pt idx="3">
                  <c:v>7.1428571428571438E-2</c:v>
                </c:pt>
                <c:pt idx="4">
                  <c:v>6.3492063492063502E-2</c:v>
                </c:pt>
                <c:pt idx="5">
                  <c:v>5.7142857142857141E-2</c:v>
                </c:pt>
                <c:pt idx="6">
                  <c:v>5.1948051948051945E-2</c:v>
                </c:pt>
                <c:pt idx="7">
                  <c:v>4.7619047619047616E-2</c:v>
                </c:pt>
                <c:pt idx="8">
                  <c:v>4.3956043956043959E-2</c:v>
                </c:pt>
                <c:pt idx="9">
                  <c:v>4.0816326530612242E-2</c:v>
                </c:pt>
                <c:pt idx="10">
                  <c:v>3.8095238095238099E-2</c:v>
                </c:pt>
              </c:numCache>
            </c:numRef>
          </c:val>
          <c:smooth val="0"/>
          <c:extLst>
            <c:ext xmlns:c16="http://schemas.microsoft.com/office/drawing/2014/chart" uri="{C3380CC4-5D6E-409C-BE32-E72D297353CC}">
              <c16:uniqueId val="{00000001-7AFD-4317-93D3-E125D382EA46}"/>
            </c:ext>
          </c:extLst>
        </c:ser>
        <c:ser>
          <c:idx val="2"/>
          <c:order val="2"/>
          <c:tx>
            <c:strRef>
              <c:f>'Comparison of SAFEs'!$B$18</c:f>
              <c:strCache>
                <c:ptCount val="1"/>
                <c:pt idx="0">
                  <c:v>SAFE with pre-money cap</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'Comparison of SAFEs'!$C$15:$M$15</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SAFEs'!$C$18:$M$18</c:f>
              <c:numCache>
                <c:formatCode>0.00%</c:formatCode>
                <c:ptCount val="11"/>
                <c:pt idx="0">
                  <c:v>0.11428571428571428</c:v>
                </c:pt>
                <c:pt idx="1">
                  <c:v>9.5238095238095247E-2</c:v>
                </c:pt>
                <c:pt idx="2">
                  <c:v>8.1632653061224483E-2</c:v>
                </c:pt>
                <c:pt idx="3">
                  <c:v>7.1428571428571438E-2</c:v>
                </c:pt>
                <c:pt idx="4">
                  <c:v>7.0707070707070704E-2</c:v>
                </c:pt>
                <c:pt idx="5">
                  <c:v>7.2727272727272724E-2</c:v>
                </c:pt>
                <c:pt idx="6">
                  <c:v>7.43801652892562E-2</c:v>
                </c:pt>
                <c:pt idx="7">
                  <c:v>7.575757575757576E-2</c:v>
                </c:pt>
                <c:pt idx="8">
                  <c:v>7.6923076923076927E-2</c:v>
                </c:pt>
                <c:pt idx="9">
                  <c:v>7.792207792207792E-2</c:v>
                </c:pt>
                <c:pt idx="10">
                  <c:v>7.8787878787878796E-2</c:v>
                </c:pt>
              </c:numCache>
            </c:numRef>
          </c:val>
          <c:smooth val="0"/>
          <c:extLst>
            <c:ext xmlns:c16="http://schemas.microsoft.com/office/drawing/2014/chart" uri="{C3380CC4-5D6E-409C-BE32-E72D297353CC}">
              <c16:uniqueId val="{00000002-7AFD-4317-93D3-E125D382EA46}"/>
            </c:ext>
          </c:extLst>
        </c:ser>
        <c:ser>
          <c:idx val="3"/>
          <c:order val="3"/>
          <c:tx>
            <c:strRef>
              <c:f>'Comparison of SAFEs'!$B$19</c:f>
              <c:strCache>
                <c:ptCount val="1"/>
                <c:pt idx="0">
                  <c:v>SAFE with post-money cap</c:v>
                </c:pt>
              </c:strCache>
            </c:strRef>
          </c:tx>
          <c:spPr>
            <a:ln w="22225" cap="rnd">
              <a:solidFill>
                <a:schemeClr val="accent4"/>
              </a:solidFill>
              <a:round/>
            </a:ln>
            <a:effectLst/>
          </c:spPr>
          <c:marker>
            <c:symbol val="x"/>
            <c:size val="6"/>
            <c:spPr>
              <a:noFill/>
              <a:ln w="9525">
                <a:solidFill>
                  <a:schemeClr val="accent4"/>
                </a:solidFill>
                <a:round/>
              </a:ln>
              <a:effectLst/>
            </c:spPr>
          </c:marker>
          <c:cat>
            <c:strRef>
              <c:f>'Comparison of SAFEs'!$C$15:$M$15</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SAFEs'!$C$19:$M$19</c:f>
              <c:numCache>
                <c:formatCode>0.00%</c:formatCode>
                <c:ptCount val="11"/>
                <c:pt idx="0">
                  <c:v>0.11428571428571428</c:v>
                </c:pt>
                <c:pt idx="1">
                  <c:v>9.5238095238095247E-2</c:v>
                </c:pt>
                <c:pt idx="2">
                  <c:v>8.1632653061224483E-2</c:v>
                </c:pt>
                <c:pt idx="3">
                  <c:v>7.4999999999999997E-2</c:v>
                </c:pt>
                <c:pt idx="4">
                  <c:v>7.7777777777777779E-2</c:v>
                </c:pt>
                <c:pt idx="5">
                  <c:v>0.08</c:v>
                </c:pt>
                <c:pt idx="6">
                  <c:v>8.1818181818181818E-2</c:v>
                </c:pt>
                <c:pt idx="7">
                  <c:v>8.3333333333333343E-2</c:v>
                </c:pt>
                <c:pt idx="8">
                  <c:v>8.461538461538462E-2</c:v>
                </c:pt>
                <c:pt idx="9">
                  <c:v>8.5714285714285715E-2</c:v>
                </c:pt>
                <c:pt idx="10">
                  <c:v>8.666666666666667E-2</c:v>
                </c:pt>
              </c:numCache>
            </c:numRef>
          </c:val>
          <c:smooth val="0"/>
          <c:extLst>
            <c:ext xmlns:c16="http://schemas.microsoft.com/office/drawing/2014/chart" uri="{C3380CC4-5D6E-409C-BE32-E72D297353CC}">
              <c16:uniqueId val="{00000003-7AFD-4317-93D3-E125D382EA46}"/>
            </c:ext>
          </c:extLst>
        </c:ser>
        <c:dLbls>
          <c:showLegendKey val="0"/>
          <c:showVal val="0"/>
          <c:showCatName val="0"/>
          <c:showSerName val="0"/>
          <c:showPercent val="0"/>
          <c:showBubbleSize val="0"/>
        </c:dLbls>
        <c:marker val="1"/>
        <c:smooth val="0"/>
        <c:axId val="775019535"/>
        <c:axId val="775015215"/>
      </c:lineChart>
      <c:catAx>
        <c:axId val="7750195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775015215"/>
        <c:crosses val="autoZero"/>
        <c:auto val="1"/>
        <c:lblAlgn val="ctr"/>
        <c:lblOffset val="100"/>
        <c:noMultiLvlLbl val="0"/>
      </c:catAx>
      <c:valAx>
        <c:axId val="775015215"/>
        <c:scaling>
          <c:orientation val="minMax"/>
        </c:scaling>
        <c:delete val="0"/>
        <c:axPos val="l"/>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501953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Founder</a:t>
            </a:r>
            <a:r>
              <a:rPr lang="en-GB" baseline="0"/>
              <a:t> </a:t>
            </a:r>
            <a:r>
              <a:rPr lang="en-GB"/>
              <a:t>ownership </a:t>
            </a:r>
          </a:p>
          <a:p>
            <a:pPr>
              <a:defRPr/>
            </a:pPr>
            <a:r>
              <a:rPr lang="en-GB"/>
              <a:t>(in post-money)</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'Comparison of SAFEs'!$B$22</c:f>
              <c:strCache>
                <c:ptCount val="1"/>
                <c:pt idx="0">
                  <c:v>Priced angel round</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'Comparison of SAFEs'!$C$21:$M$21</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SAFEs'!$C$22:$M$22</c:f>
              <c:numCache>
                <c:formatCode>0.00%</c:formatCode>
                <c:ptCount val="11"/>
                <c:pt idx="0">
                  <c:v>0.56249999999999989</c:v>
                </c:pt>
                <c:pt idx="1">
                  <c:v>0.625</c:v>
                </c:pt>
                <c:pt idx="2">
                  <c:v>0.6696428571428571</c:v>
                </c:pt>
                <c:pt idx="3">
                  <c:v>0.703125</c:v>
                </c:pt>
                <c:pt idx="4">
                  <c:v>0.72916666666666663</c:v>
                </c:pt>
                <c:pt idx="5">
                  <c:v>0.75</c:v>
                </c:pt>
                <c:pt idx="6">
                  <c:v>0.76704545454545459</c:v>
                </c:pt>
                <c:pt idx="7">
                  <c:v>0.78125</c:v>
                </c:pt>
                <c:pt idx="8">
                  <c:v>0.79326923076923084</c:v>
                </c:pt>
                <c:pt idx="9">
                  <c:v>0.80357142857142849</c:v>
                </c:pt>
                <c:pt idx="10">
                  <c:v>0.8125</c:v>
                </c:pt>
              </c:numCache>
            </c:numRef>
          </c:val>
          <c:smooth val="0"/>
          <c:extLst>
            <c:ext xmlns:c16="http://schemas.microsoft.com/office/drawing/2014/chart" uri="{C3380CC4-5D6E-409C-BE32-E72D297353CC}">
              <c16:uniqueId val="{00000000-B5DB-47F9-BF74-7916B0AB87E7}"/>
            </c:ext>
          </c:extLst>
        </c:ser>
        <c:ser>
          <c:idx val="1"/>
          <c:order val="1"/>
          <c:tx>
            <c:strRef>
              <c:f>'Comparison of SAFEs'!$B$23</c:f>
              <c:strCache>
                <c:ptCount val="1"/>
                <c:pt idx="0">
                  <c:v>SAFE with discount </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'Comparison of SAFEs'!$C$21:$M$21</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SAFEs'!$C$23:$M$23</c:f>
              <c:numCache>
                <c:formatCode>0.00%</c:formatCode>
                <c:ptCount val="11"/>
                <c:pt idx="0">
                  <c:v>0.48571428571428571</c:v>
                </c:pt>
                <c:pt idx="1">
                  <c:v>0.5714285714285714</c:v>
                </c:pt>
                <c:pt idx="2">
                  <c:v>0.63265306122448972</c:v>
                </c:pt>
                <c:pt idx="3">
                  <c:v>0.67857142857142838</c:v>
                </c:pt>
                <c:pt idx="4">
                  <c:v>0.7142857142857143</c:v>
                </c:pt>
                <c:pt idx="5">
                  <c:v>0.74285714285714288</c:v>
                </c:pt>
                <c:pt idx="6">
                  <c:v>0.76623376623376627</c:v>
                </c:pt>
                <c:pt idx="7">
                  <c:v>0.78571428571428581</c:v>
                </c:pt>
                <c:pt idx="8">
                  <c:v>0.80219780219780223</c:v>
                </c:pt>
                <c:pt idx="9">
                  <c:v>0.81632653061224492</c:v>
                </c:pt>
                <c:pt idx="10">
                  <c:v>0.82857142857142863</c:v>
                </c:pt>
              </c:numCache>
            </c:numRef>
          </c:val>
          <c:smooth val="0"/>
          <c:extLst>
            <c:ext xmlns:c16="http://schemas.microsoft.com/office/drawing/2014/chart" uri="{C3380CC4-5D6E-409C-BE32-E72D297353CC}">
              <c16:uniqueId val="{00000001-B5DB-47F9-BF74-7916B0AB87E7}"/>
            </c:ext>
          </c:extLst>
        </c:ser>
        <c:ser>
          <c:idx val="2"/>
          <c:order val="2"/>
          <c:tx>
            <c:strRef>
              <c:f>'Comparison of SAFEs'!$B$24</c:f>
              <c:strCache>
                <c:ptCount val="1"/>
                <c:pt idx="0">
                  <c:v>SAFE with pre-money cap</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'Comparison of SAFEs'!$C$21:$M$21</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SAFEs'!$C$24:$M$24</c:f>
              <c:numCache>
                <c:formatCode>0.00%</c:formatCode>
                <c:ptCount val="11"/>
                <c:pt idx="0">
                  <c:v>0.48571428571428571</c:v>
                </c:pt>
                <c:pt idx="1">
                  <c:v>0.5714285714285714</c:v>
                </c:pt>
                <c:pt idx="2">
                  <c:v>0.63265306122448972</c:v>
                </c:pt>
                <c:pt idx="3">
                  <c:v>0.67857142857142838</c:v>
                </c:pt>
                <c:pt idx="4">
                  <c:v>0.70707070707070707</c:v>
                </c:pt>
                <c:pt idx="5">
                  <c:v>0.72727272727272729</c:v>
                </c:pt>
                <c:pt idx="6">
                  <c:v>0.74380165289256195</c:v>
                </c:pt>
                <c:pt idx="7">
                  <c:v>0.75757575757575757</c:v>
                </c:pt>
                <c:pt idx="8">
                  <c:v>0.76923076923076927</c:v>
                </c:pt>
                <c:pt idx="9">
                  <c:v>0.77922077922077926</c:v>
                </c:pt>
                <c:pt idx="10">
                  <c:v>0.78787878787878796</c:v>
                </c:pt>
              </c:numCache>
            </c:numRef>
          </c:val>
          <c:smooth val="0"/>
          <c:extLst>
            <c:ext xmlns:c16="http://schemas.microsoft.com/office/drawing/2014/chart" uri="{C3380CC4-5D6E-409C-BE32-E72D297353CC}">
              <c16:uniqueId val="{00000002-B5DB-47F9-BF74-7916B0AB87E7}"/>
            </c:ext>
          </c:extLst>
        </c:ser>
        <c:ser>
          <c:idx val="3"/>
          <c:order val="3"/>
          <c:tx>
            <c:strRef>
              <c:f>'Comparison of SAFEs'!$B$25</c:f>
              <c:strCache>
                <c:ptCount val="1"/>
                <c:pt idx="0">
                  <c:v>SAFE with post-money cap</c:v>
                </c:pt>
              </c:strCache>
            </c:strRef>
          </c:tx>
          <c:spPr>
            <a:ln w="22225" cap="rnd">
              <a:solidFill>
                <a:schemeClr val="accent4"/>
              </a:solidFill>
              <a:round/>
            </a:ln>
            <a:effectLst/>
          </c:spPr>
          <c:marker>
            <c:symbol val="x"/>
            <c:size val="6"/>
            <c:spPr>
              <a:noFill/>
              <a:ln w="9525">
                <a:solidFill>
                  <a:schemeClr val="accent4"/>
                </a:solidFill>
                <a:round/>
              </a:ln>
              <a:effectLst/>
            </c:spPr>
          </c:marker>
          <c:cat>
            <c:strRef>
              <c:f>'Comparison of SAFEs'!$C$21:$M$21</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SAFEs'!$C$25:$M$25</c:f>
              <c:numCache>
                <c:formatCode>0.00%</c:formatCode>
                <c:ptCount val="11"/>
                <c:pt idx="0">
                  <c:v>0.48571428571428571</c:v>
                </c:pt>
                <c:pt idx="1">
                  <c:v>0.5714285714285714</c:v>
                </c:pt>
                <c:pt idx="2">
                  <c:v>0.63265306122448972</c:v>
                </c:pt>
                <c:pt idx="3">
                  <c:v>0.67500000000000004</c:v>
                </c:pt>
                <c:pt idx="4">
                  <c:v>0.70000000000000007</c:v>
                </c:pt>
                <c:pt idx="5">
                  <c:v>0.72000000000000008</c:v>
                </c:pt>
                <c:pt idx="6">
                  <c:v>0.73636363636363644</c:v>
                </c:pt>
                <c:pt idx="7">
                  <c:v>0.75000000000000011</c:v>
                </c:pt>
                <c:pt idx="8">
                  <c:v>0.76153846153846161</c:v>
                </c:pt>
                <c:pt idx="9">
                  <c:v>0.77142857142857146</c:v>
                </c:pt>
                <c:pt idx="10">
                  <c:v>0.78</c:v>
                </c:pt>
              </c:numCache>
            </c:numRef>
          </c:val>
          <c:smooth val="0"/>
          <c:extLst>
            <c:ext xmlns:c16="http://schemas.microsoft.com/office/drawing/2014/chart" uri="{C3380CC4-5D6E-409C-BE32-E72D297353CC}">
              <c16:uniqueId val="{00000003-B5DB-47F9-BF74-7916B0AB87E7}"/>
            </c:ext>
          </c:extLst>
        </c:ser>
        <c:dLbls>
          <c:showLegendKey val="0"/>
          <c:showVal val="0"/>
          <c:showCatName val="0"/>
          <c:showSerName val="0"/>
          <c:showPercent val="0"/>
          <c:showBubbleSize val="0"/>
        </c:dLbls>
        <c:marker val="1"/>
        <c:smooth val="0"/>
        <c:axId val="1128197247"/>
        <c:axId val="1128194367"/>
      </c:lineChart>
      <c:catAx>
        <c:axId val="112819724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128194367"/>
        <c:crosses val="autoZero"/>
        <c:auto val="1"/>
        <c:lblAlgn val="ctr"/>
        <c:lblOffset val="100"/>
        <c:noMultiLvlLbl val="0"/>
      </c:catAx>
      <c:valAx>
        <c:axId val="1128194367"/>
        <c:scaling>
          <c:orientation val="minMax"/>
        </c:scaling>
        <c:delete val="0"/>
        <c:axPos val="l"/>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819724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Angel ownership </a:t>
            </a:r>
          </a:p>
          <a:p>
            <a:pPr>
              <a:defRPr/>
            </a:pPr>
            <a:r>
              <a:rPr lang="en-GB"/>
              <a:t>(in pre-money)</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'Comparison of SAFEs'!$B$28</c:f>
              <c:strCache>
                <c:ptCount val="1"/>
                <c:pt idx="0">
                  <c:v>Priced angel round</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'Comparison of SAFEs'!$C$27:$M$27</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SAFEs'!$C$28:$M$28</c:f>
              <c:numCache>
                <c:formatCode>0.00%</c:formatCode>
                <c:ptCount val="11"/>
                <c:pt idx="0">
                  <c:v>6.25E-2</c:v>
                </c:pt>
                <c:pt idx="1">
                  <c:v>6.25E-2</c:v>
                </c:pt>
                <c:pt idx="2">
                  <c:v>6.25E-2</c:v>
                </c:pt>
                <c:pt idx="3">
                  <c:v>6.25E-2</c:v>
                </c:pt>
                <c:pt idx="4">
                  <c:v>6.25E-2</c:v>
                </c:pt>
                <c:pt idx="5">
                  <c:v>6.25E-2</c:v>
                </c:pt>
                <c:pt idx="6">
                  <c:v>6.25E-2</c:v>
                </c:pt>
                <c:pt idx="7">
                  <c:v>6.25E-2</c:v>
                </c:pt>
                <c:pt idx="8">
                  <c:v>6.25E-2</c:v>
                </c:pt>
                <c:pt idx="9">
                  <c:v>6.25E-2</c:v>
                </c:pt>
                <c:pt idx="10">
                  <c:v>6.25E-2</c:v>
                </c:pt>
              </c:numCache>
            </c:numRef>
          </c:val>
          <c:smooth val="0"/>
          <c:extLst>
            <c:ext xmlns:c16="http://schemas.microsoft.com/office/drawing/2014/chart" uri="{C3380CC4-5D6E-409C-BE32-E72D297353CC}">
              <c16:uniqueId val="{00000000-3AEF-4AD1-B121-86FF8BA2EDD0}"/>
            </c:ext>
          </c:extLst>
        </c:ser>
        <c:ser>
          <c:idx val="1"/>
          <c:order val="1"/>
          <c:tx>
            <c:strRef>
              <c:f>'Comparison of SAFEs'!$B$29</c:f>
              <c:strCache>
                <c:ptCount val="1"/>
                <c:pt idx="0">
                  <c:v>SAFE with discount </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'Comparison of SAFEs'!$C$27:$M$27</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SAFEs'!$C$29:$M$29</c:f>
              <c:numCache>
                <c:formatCode>0.00%</c:formatCode>
                <c:ptCount val="11"/>
                <c:pt idx="0">
                  <c:v>0.19047619047619049</c:v>
                </c:pt>
                <c:pt idx="1">
                  <c:v>0.14285714285714288</c:v>
                </c:pt>
                <c:pt idx="2">
                  <c:v>0.1142857142857143</c:v>
                </c:pt>
                <c:pt idx="3">
                  <c:v>9.5238095238095261E-2</c:v>
                </c:pt>
                <c:pt idx="4">
                  <c:v>8.1632653061224497E-2</c:v>
                </c:pt>
                <c:pt idx="5">
                  <c:v>7.1428571428571425E-2</c:v>
                </c:pt>
                <c:pt idx="6">
                  <c:v>6.3492063492063475E-2</c:v>
                </c:pt>
                <c:pt idx="7">
                  <c:v>5.7142857142857141E-2</c:v>
                </c:pt>
                <c:pt idx="8">
                  <c:v>5.1948051948051951E-2</c:v>
                </c:pt>
                <c:pt idx="9">
                  <c:v>4.7619047619047616E-2</c:v>
                </c:pt>
                <c:pt idx="10">
                  <c:v>4.3956043956043966E-2</c:v>
                </c:pt>
              </c:numCache>
            </c:numRef>
          </c:val>
          <c:smooth val="0"/>
          <c:extLst>
            <c:ext xmlns:c16="http://schemas.microsoft.com/office/drawing/2014/chart" uri="{C3380CC4-5D6E-409C-BE32-E72D297353CC}">
              <c16:uniqueId val="{00000001-3AEF-4AD1-B121-86FF8BA2EDD0}"/>
            </c:ext>
          </c:extLst>
        </c:ser>
        <c:ser>
          <c:idx val="2"/>
          <c:order val="2"/>
          <c:tx>
            <c:strRef>
              <c:f>'Comparison of SAFEs'!$B$30</c:f>
              <c:strCache>
                <c:ptCount val="1"/>
                <c:pt idx="0">
                  <c:v>SAFE with pre-money cap</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'Comparison of SAFEs'!$C$27:$M$27</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SAFEs'!$C$30:$M$30</c:f>
              <c:numCache>
                <c:formatCode>0.00%</c:formatCode>
                <c:ptCount val="11"/>
                <c:pt idx="0">
                  <c:v>0.19047619047619049</c:v>
                </c:pt>
                <c:pt idx="1">
                  <c:v>0.14285714285714288</c:v>
                </c:pt>
                <c:pt idx="2">
                  <c:v>0.1142857142857143</c:v>
                </c:pt>
                <c:pt idx="3">
                  <c:v>9.5238095238095261E-2</c:v>
                </c:pt>
                <c:pt idx="4">
                  <c:v>9.0909090909090912E-2</c:v>
                </c:pt>
                <c:pt idx="5">
                  <c:v>9.0909090909090912E-2</c:v>
                </c:pt>
                <c:pt idx="6">
                  <c:v>9.0909090909090912E-2</c:v>
                </c:pt>
                <c:pt idx="7">
                  <c:v>9.0909090909090912E-2</c:v>
                </c:pt>
                <c:pt idx="8">
                  <c:v>9.0909090909090912E-2</c:v>
                </c:pt>
                <c:pt idx="9">
                  <c:v>9.0909090909090912E-2</c:v>
                </c:pt>
                <c:pt idx="10">
                  <c:v>9.0909090909090912E-2</c:v>
                </c:pt>
              </c:numCache>
            </c:numRef>
          </c:val>
          <c:smooth val="0"/>
          <c:extLst>
            <c:ext xmlns:c16="http://schemas.microsoft.com/office/drawing/2014/chart" uri="{C3380CC4-5D6E-409C-BE32-E72D297353CC}">
              <c16:uniqueId val="{00000002-3AEF-4AD1-B121-86FF8BA2EDD0}"/>
            </c:ext>
          </c:extLst>
        </c:ser>
        <c:ser>
          <c:idx val="3"/>
          <c:order val="3"/>
          <c:tx>
            <c:strRef>
              <c:f>'Comparison of SAFEs'!$B$31</c:f>
              <c:strCache>
                <c:ptCount val="1"/>
                <c:pt idx="0">
                  <c:v>SAFE with post-money cap</c:v>
                </c:pt>
              </c:strCache>
            </c:strRef>
          </c:tx>
          <c:spPr>
            <a:ln w="22225" cap="rnd">
              <a:solidFill>
                <a:schemeClr val="accent4"/>
              </a:solidFill>
              <a:round/>
            </a:ln>
            <a:effectLst/>
          </c:spPr>
          <c:marker>
            <c:symbol val="x"/>
            <c:size val="6"/>
            <c:spPr>
              <a:noFill/>
              <a:ln w="9525">
                <a:solidFill>
                  <a:schemeClr val="accent4"/>
                </a:solidFill>
                <a:round/>
              </a:ln>
              <a:effectLst/>
            </c:spPr>
          </c:marker>
          <c:cat>
            <c:strRef>
              <c:f>'Comparison of SAFEs'!$C$27:$M$27</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SAFEs'!$C$31:$M$31</c:f>
              <c:numCache>
                <c:formatCode>0.00%</c:formatCode>
                <c:ptCount val="11"/>
                <c:pt idx="0">
                  <c:v>0.19047619047619049</c:v>
                </c:pt>
                <c:pt idx="1">
                  <c:v>0.14285714285714288</c:v>
                </c:pt>
                <c:pt idx="2">
                  <c:v>0.1142857142857143</c:v>
                </c:pt>
                <c:pt idx="3">
                  <c:v>0.1</c:v>
                </c:pt>
                <c:pt idx="4">
                  <c:v>0.1</c:v>
                </c:pt>
                <c:pt idx="5">
                  <c:v>0.1</c:v>
                </c:pt>
                <c:pt idx="6">
                  <c:v>0.1</c:v>
                </c:pt>
                <c:pt idx="7">
                  <c:v>0.1</c:v>
                </c:pt>
                <c:pt idx="8">
                  <c:v>0.1</c:v>
                </c:pt>
                <c:pt idx="9">
                  <c:v>0.1</c:v>
                </c:pt>
                <c:pt idx="10">
                  <c:v>0.1</c:v>
                </c:pt>
              </c:numCache>
            </c:numRef>
          </c:val>
          <c:smooth val="0"/>
          <c:extLst>
            <c:ext xmlns:c16="http://schemas.microsoft.com/office/drawing/2014/chart" uri="{C3380CC4-5D6E-409C-BE32-E72D297353CC}">
              <c16:uniqueId val="{00000003-3AEF-4AD1-B121-86FF8BA2EDD0}"/>
            </c:ext>
          </c:extLst>
        </c:ser>
        <c:dLbls>
          <c:showLegendKey val="0"/>
          <c:showVal val="0"/>
          <c:showCatName val="0"/>
          <c:showSerName val="0"/>
          <c:showPercent val="0"/>
          <c:showBubbleSize val="0"/>
        </c:dLbls>
        <c:marker val="1"/>
        <c:smooth val="0"/>
        <c:axId val="1235803615"/>
        <c:axId val="1235801695"/>
      </c:lineChart>
      <c:catAx>
        <c:axId val="12358036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235801695"/>
        <c:crosses val="autoZero"/>
        <c:auto val="1"/>
        <c:lblAlgn val="ctr"/>
        <c:lblOffset val="100"/>
        <c:noMultiLvlLbl val="0"/>
      </c:catAx>
      <c:valAx>
        <c:axId val="1235801695"/>
        <c:scaling>
          <c:orientation val="minMax"/>
        </c:scaling>
        <c:delete val="0"/>
        <c:axPos val="l"/>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580361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Founder</a:t>
            </a:r>
            <a:r>
              <a:rPr lang="en-GB" baseline="0"/>
              <a:t> </a:t>
            </a:r>
            <a:r>
              <a:rPr lang="en-GB"/>
              <a:t>ownership </a:t>
            </a:r>
          </a:p>
          <a:p>
            <a:pPr>
              <a:defRPr/>
            </a:pPr>
            <a:r>
              <a:rPr lang="en-GB"/>
              <a:t>(in pre-money)</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'Comparison of SAFEs'!$B$34</c:f>
              <c:strCache>
                <c:ptCount val="1"/>
                <c:pt idx="0">
                  <c:v>Priced angel round</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'Comparison of SAFEs'!$C$33:$M$33</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SAFEs'!$C$34:$M$34</c:f>
              <c:numCache>
                <c:formatCode>0.00%</c:formatCode>
                <c:ptCount val="11"/>
                <c:pt idx="0">
                  <c:v>0.9375</c:v>
                </c:pt>
                <c:pt idx="1">
                  <c:v>0.9375</c:v>
                </c:pt>
                <c:pt idx="2">
                  <c:v>0.9375</c:v>
                </c:pt>
                <c:pt idx="3">
                  <c:v>0.9375</c:v>
                </c:pt>
                <c:pt idx="4">
                  <c:v>0.9375</c:v>
                </c:pt>
                <c:pt idx="5">
                  <c:v>0.9375</c:v>
                </c:pt>
                <c:pt idx="6">
                  <c:v>0.9375</c:v>
                </c:pt>
                <c:pt idx="7">
                  <c:v>0.9375</c:v>
                </c:pt>
                <c:pt idx="8">
                  <c:v>0.9375</c:v>
                </c:pt>
                <c:pt idx="9">
                  <c:v>0.9375</c:v>
                </c:pt>
                <c:pt idx="10">
                  <c:v>0.9375</c:v>
                </c:pt>
              </c:numCache>
            </c:numRef>
          </c:val>
          <c:smooth val="0"/>
          <c:extLst>
            <c:ext xmlns:c16="http://schemas.microsoft.com/office/drawing/2014/chart" uri="{C3380CC4-5D6E-409C-BE32-E72D297353CC}">
              <c16:uniqueId val="{00000000-926D-4602-AFBE-028D75E6625C}"/>
            </c:ext>
          </c:extLst>
        </c:ser>
        <c:ser>
          <c:idx val="1"/>
          <c:order val="1"/>
          <c:tx>
            <c:strRef>
              <c:f>'Comparison of SAFEs'!$B$35</c:f>
              <c:strCache>
                <c:ptCount val="1"/>
                <c:pt idx="0">
                  <c:v>SAFE with discount </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'Comparison of SAFEs'!$C$33:$M$33</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SAFEs'!$C$35:$M$35</c:f>
              <c:numCache>
                <c:formatCode>0.00%</c:formatCode>
                <c:ptCount val="11"/>
                <c:pt idx="0">
                  <c:v>0.80952380952380953</c:v>
                </c:pt>
                <c:pt idx="1">
                  <c:v>0.8571428571428571</c:v>
                </c:pt>
                <c:pt idx="2">
                  <c:v>0.88571428571428568</c:v>
                </c:pt>
                <c:pt idx="3">
                  <c:v>0.90476190476190466</c:v>
                </c:pt>
                <c:pt idx="4">
                  <c:v>0.91836734693877553</c:v>
                </c:pt>
                <c:pt idx="5">
                  <c:v>0.92857142857142849</c:v>
                </c:pt>
                <c:pt idx="6">
                  <c:v>0.93650793650793651</c:v>
                </c:pt>
                <c:pt idx="7">
                  <c:v>0.94285714285714295</c:v>
                </c:pt>
                <c:pt idx="8">
                  <c:v>0.94805194805194803</c:v>
                </c:pt>
                <c:pt idx="9">
                  <c:v>0.95238095238095233</c:v>
                </c:pt>
                <c:pt idx="10">
                  <c:v>0.95604395604395609</c:v>
                </c:pt>
              </c:numCache>
            </c:numRef>
          </c:val>
          <c:smooth val="0"/>
          <c:extLst>
            <c:ext xmlns:c16="http://schemas.microsoft.com/office/drawing/2014/chart" uri="{C3380CC4-5D6E-409C-BE32-E72D297353CC}">
              <c16:uniqueId val="{00000001-926D-4602-AFBE-028D75E6625C}"/>
            </c:ext>
          </c:extLst>
        </c:ser>
        <c:ser>
          <c:idx val="2"/>
          <c:order val="2"/>
          <c:tx>
            <c:strRef>
              <c:f>'Comparison of SAFEs'!$B$36</c:f>
              <c:strCache>
                <c:ptCount val="1"/>
                <c:pt idx="0">
                  <c:v>SAFE with pre-money cap</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'Comparison of SAFEs'!$C$33:$M$33</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SAFEs'!$C$36:$M$36</c:f>
              <c:numCache>
                <c:formatCode>0.00%</c:formatCode>
                <c:ptCount val="11"/>
                <c:pt idx="0">
                  <c:v>0.80952380952380953</c:v>
                </c:pt>
                <c:pt idx="1">
                  <c:v>0.8571428571428571</c:v>
                </c:pt>
                <c:pt idx="2">
                  <c:v>0.88571428571428568</c:v>
                </c:pt>
                <c:pt idx="3">
                  <c:v>0.90476190476190466</c:v>
                </c:pt>
                <c:pt idx="4">
                  <c:v>0.90909090909090906</c:v>
                </c:pt>
                <c:pt idx="5">
                  <c:v>0.90909090909090906</c:v>
                </c:pt>
                <c:pt idx="6">
                  <c:v>0.90909090909090906</c:v>
                </c:pt>
                <c:pt idx="7">
                  <c:v>0.90909090909090906</c:v>
                </c:pt>
                <c:pt idx="8">
                  <c:v>0.90909090909090906</c:v>
                </c:pt>
                <c:pt idx="9">
                  <c:v>0.90909090909090906</c:v>
                </c:pt>
                <c:pt idx="10">
                  <c:v>0.90909090909090906</c:v>
                </c:pt>
              </c:numCache>
            </c:numRef>
          </c:val>
          <c:smooth val="0"/>
          <c:extLst>
            <c:ext xmlns:c16="http://schemas.microsoft.com/office/drawing/2014/chart" uri="{C3380CC4-5D6E-409C-BE32-E72D297353CC}">
              <c16:uniqueId val="{00000002-926D-4602-AFBE-028D75E6625C}"/>
            </c:ext>
          </c:extLst>
        </c:ser>
        <c:ser>
          <c:idx val="3"/>
          <c:order val="3"/>
          <c:tx>
            <c:strRef>
              <c:f>'Comparison of SAFEs'!$B$37</c:f>
              <c:strCache>
                <c:ptCount val="1"/>
                <c:pt idx="0">
                  <c:v>SAFE with post-money cap</c:v>
                </c:pt>
              </c:strCache>
            </c:strRef>
          </c:tx>
          <c:spPr>
            <a:ln w="22225" cap="rnd">
              <a:solidFill>
                <a:schemeClr val="accent4"/>
              </a:solidFill>
              <a:round/>
            </a:ln>
            <a:effectLst/>
          </c:spPr>
          <c:marker>
            <c:symbol val="x"/>
            <c:size val="6"/>
            <c:spPr>
              <a:noFill/>
              <a:ln w="9525">
                <a:solidFill>
                  <a:schemeClr val="accent4"/>
                </a:solidFill>
                <a:round/>
              </a:ln>
              <a:effectLst/>
            </c:spPr>
          </c:marker>
          <c:cat>
            <c:strRef>
              <c:f>'Comparison of SAFEs'!$C$33:$M$33</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SAFEs'!$C$37:$M$37</c:f>
              <c:numCache>
                <c:formatCode>0.00%</c:formatCode>
                <c:ptCount val="11"/>
                <c:pt idx="0">
                  <c:v>0.80952380952380953</c:v>
                </c:pt>
                <c:pt idx="1">
                  <c:v>0.8571428571428571</c:v>
                </c:pt>
                <c:pt idx="2">
                  <c:v>0.88571428571428568</c:v>
                </c:pt>
                <c:pt idx="3">
                  <c:v>0.9</c:v>
                </c:pt>
                <c:pt idx="4">
                  <c:v>0.9</c:v>
                </c:pt>
                <c:pt idx="5">
                  <c:v>0.9</c:v>
                </c:pt>
                <c:pt idx="6">
                  <c:v>0.9</c:v>
                </c:pt>
                <c:pt idx="7">
                  <c:v>0.9</c:v>
                </c:pt>
                <c:pt idx="8">
                  <c:v>0.9</c:v>
                </c:pt>
                <c:pt idx="9">
                  <c:v>0.9</c:v>
                </c:pt>
                <c:pt idx="10">
                  <c:v>0.9</c:v>
                </c:pt>
              </c:numCache>
            </c:numRef>
          </c:val>
          <c:smooth val="0"/>
          <c:extLst>
            <c:ext xmlns:c16="http://schemas.microsoft.com/office/drawing/2014/chart" uri="{C3380CC4-5D6E-409C-BE32-E72D297353CC}">
              <c16:uniqueId val="{00000003-926D-4602-AFBE-028D75E6625C}"/>
            </c:ext>
          </c:extLst>
        </c:ser>
        <c:dLbls>
          <c:showLegendKey val="0"/>
          <c:showVal val="0"/>
          <c:showCatName val="0"/>
          <c:showSerName val="0"/>
          <c:showPercent val="0"/>
          <c:showBubbleSize val="0"/>
        </c:dLbls>
        <c:marker val="1"/>
        <c:smooth val="0"/>
        <c:axId val="1012181200"/>
        <c:axId val="1012179280"/>
      </c:lineChart>
      <c:catAx>
        <c:axId val="10121812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012179280"/>
        <c:crosses val="autoZero"/>
        <c:auto val="1"/>
        <c:lblAlgn val="ctr"/>
        <c:lblOffset val="100"/>
        <c:noMultiLvlLbl val="0"/>
      </c:catAx>
      <c:valAx>
        <c:axId val="1012179280"/>
        <c:scaling>
          <c:orientation val="minMax"/>
        </c:scaling>
        <c:delete val="0"/>
        <c:axPos val="l"/>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21812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Angel Share Price</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'Comparison of SAFEs'!$B$40</c:f>
              <c:strCache>
                <c:ptCount val="1"/>
                <c:pt idx="0">
                  <c:v>Priced angel round</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'Comparison of SAFEs'!$C$39:$M$39</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SAFEs'!$C$40:$M$40</c:f>
              <c:numCache>
                <c:formatCode>[$$-409]#,##0.00</c:formatCode>
                <c:ptCount val="11"/>
                <c:pt idx="0">
                  <c:v>2</c:v>
                </c:pt>
                <c:pt idx="1">
                  <c:v>2</c:v>
                </c:pt>
                <c:pt idx="2">
                  <c:v>2</c:v>
                </c:pt>
                <c:pt idx="3">
                  <c:v>2</c:v>
                </c:pt>
                <c:pt idx="4">
                  <c:v>2</c:v>
                </c:pt>
                <c:pt idx="5">
                  <c:v>2</c:v>
                </c:pt>
                <c:pt idx="6">
                  <c:v>2</c:v>
                </c:pt>
                <c:pt idx="7">
                  <c:v>2</c:v>
                </c:pt>
                <c:pt idx="8">
                  <c:v>2</c:v>
                </c:pt>
                <c:pt idx="9">
                  <c:v>2</c:v>
                </c:pt>
                <c:pt idx="10">
                  <c:v>2</c:v>
                </c:pt>
              </c:numCache>
            </c:numRef>
          </c:val>
          <c:smooth val="0"/>
          <c:extLst>
            <c:ext xmlns:c16="http://schemas.microsoft.com/office/drawing/2014/chart" uri="{C3380CC4-5D6E-409C-BE32-E72D297353CC}">
              <c16:uniqueId val="{00000000-E300-4711-B502-DC6A131A9212}"/>
            </c:ext>
          </c:extLst>
        </c:ser>
        <c:ser>
          <c:idx val="1"/>
          <c:order val="1"/>
          <c:tx>
            <c:strRef>
              <c:f>'Comparison of SAFEs'!$B$41</c:f>
              <c:strCache>
                <c:ptCount val="1"/>
                <c:pt idx="0">
                  <c:v>SAFE with discount </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'Comparison of SAFEs'!$C$39:$M$39</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SAFEs'!$C$41:$M$41</c:f>
              <c:numCache>
                <c:formatCode>[$$-1009]#,##0.00</c:formatCode>
                <c:ptCount val="11"/>
                <c:pt idx="0">
                  <c:v>0.56666666666666665</c:v>
                </c:pt>
                <c:pt idx="1">
                  <c:v>0.79999999999999993</c:v>
                </c:pt>
                <c:pt idx="2">
                  <c:v>1.0333333333333332</c:v>
                </c:pt>
                <c:pt idx="3">
                  <c:v>1.2666666666666664</c:v>
                </c:pt>
                <c:pt idx="4">
                  <c:v>1.4999999999999998</c:v>
                </c:pt>
                <c:pt idx="5">
                  <c:v>1.7333333333333334</c:v>
                </c:pt>
                <c:pt idx="6">
                  <c:v>1.9666666666666668</c:v>
                </c:pt>
                <c:pt idx="7">
                  <c:v>2.2000000000000002</c:v>
                </c:pt>
                <c:pt idx="8">
                  <c:v>2.4333333333333331</c:v>
                </c:pt>
                <c:pt idx="9">
                  <c:v>2.6666666666666665</c:v>
                </c:pt>
                <c:pt idx="10">
                  <c:v>2.9</c:v>
                </c:pt>
              </c:numCache>
            </c:numRef>
          </c:val>
          <c:smooth val="0"/>
          <c:extLst>
            <c:ext xmlns:c16="http://schemas.microsoft.com/office/drawing/2014/chart" uri="{C3380CC4-5D6E-409C-BE32-E72D297353CC}">
              <c16:uniqueId val="{00000001-E300-4711-B502-DC6A131A9212}"/>
            </c:ext>
          </c:extLst>
        </c:ser>
        <c:ser>
          <c:idx val="2"/>
          <c:order val="2"/>
          <c:tx>
            <c:strRef>
              <c:f>'Comparison of SAFEs'!$B$42</c:f>
              <c:strCache>
                <c:ptCount val="1"/>
                <c:pt idx="0">
                  <c:v>SAFE with pre-money cap</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'Comparison of SAFEs'!$C$39:$M$39</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SAFEs'!$C$42:$M$42</c:f>
              <c:numCache>
                <c:formatCode>[$$-1009]#,##0.00</c:formatCode>
                <c:ptCount val="11"/>
                <c:pt idx="0">
                  <c:v>0.56666666666666665</c:v>
                </c:pt>
                <c:pt idx="1">
                  <c:v>0.79999999999999993</c:v>
                </c:pt>
                <c:pt idx="2">
                  <c:v>1.0333333333333332</c:v>
                </c:pt>
                <c:pt idx="3">
                  <c:v>1.2666666666666664</c:v>
                </c:pt>
                <c:pt idx="4">
                  <c:v>1.3333333333333333</c:v>
                </c:pt>
                <c:pt idx="5">
                  <c:v>1.3333333333333333</c:v>
                </c:pt>
                <c:pt idx="6">
                  <c:v>1.3333333333333333</c:v>
                </c:pt>
                <c:pt idx="7">
                  <c:v>1.3333333333333333</c:v>
                </c:pt>
                <c:pt idx="8">
                  <c:v>1.3333333333333333</c:v>
                </c:pt>
                <c:pt idx="9">
                  <c:v>1.3333333333333333</c:v>
                </c:pt>
                <c:pt idx="10">
                  <c:v>1.3333333333333333</c:v>
                </c:pt>
              </c:numCache>
            </c:numRef>
          </c:val>
          <c:smooth val="0"/>
          <c:extLst>
            <c:ext xmlns:c16="http://schemas.microsoft.com/office/drawing/2014/chart" uri="{C3380CC4-5D6E-409C-BE32-E72D297353CC}">
              <c16:uniqueId val="{00000002-E300-4711-B502-DC6A131A9212}"/>
            </c:ext>
          </c:extLst>
        </c:ser>
        <c:ser>
          <c:idx val="3"/>
          <c:order val="3"/>
          <c:tx>
            <c:strRef>
              <c:f>'Comparison of SAFEs'!$B$43</c:f>
              <c:strCache>
                <c:ptCount val="1"/>
                <c:pt idx="0">
                  <c:v>SAFE with post-money cap</c:v>
                </c:pt>
              </c:strCache>
            </c:strRef>
          </c:tx>
          <c:spPr>
            <a:ln w="22225" cap="rnd">
              <a:solidFill>
                <a:schemeClr val="accent4"/>
              </a:solidFill>
              <a:round/>
            </a:ln>
            <a:effectLst/>
          </c:spPr>
          <c:marker>
            <c:symbol val="x"/>
            <c:size val="6"/>
            <c:spPr>
              <a:noFill/>
              <a:ln w="9525">
                <a:solidFill>
                  <a:schemeClr val="accent4"/>
                </a:solidFill>
                <a:round/>
              </a:ln>
              <a:effectLst/>
            </c:spPr>
          </c:marker>
          <c:cat>
            <c:strRef>
              <c:f>'Comparison of SAFEs'!$C$39:$M$39</c:f>
              <c:strCache>
                <c:ptCount val="11"/>
                <c:pt idx="0">
                  <c:v>$5M</c:v>
                </c:pt>
                <c:pt idx="1">
                  <c:v>$6M</c:v>
                </c:pt>
                <c:pt idx="2">
                  <c:v>$7M</c:v>
                </c:pt>
                <c:pt idx="3">
                  <c:v>$8M</c:v>
                </c:pt>
                <c:pt idx="4">
                  <c:v>$9M</c:v>
                </c:pt>
                <c:pt idx="5">
                  <c:v>$10M</c:v>
                </c:pt>
                <c:pt idx="6">
                  <c:v>$11M</c:v>
                </c:pt>
                <c:pt idx="7">
                  <c:v>$12M</c:v>
                </c:pt>
                <c:pt idx="8">
                  <c:v>$13M</c:v>
                </c:pt>
                <c:pt idx="9">
                  <c:v>$14M</c:v>
                </c:pt>
                <c:pt idx="10">
                  <c:v>$15M</c:v>
                </c:pt>
              </c:strCache>
            </c:strRef>
          </c:cat>
          <c:val>
            <c:numRef>
              <c:f>'Comparison of SAFEs'!$C$43:$M$43</c:f>
              <c:numCache>
                <c:formatCode>[$$-1009]#,##0.00</c:formatCode>
                <c:ptCount val="11"/>
                <c:pt idx="0">
                  <c:v>0.56666666666666665</c:v>
                </c:pt>
                <c:pt idx="1">
                  <c:v>0.79999999999999993</c:v>
                </c:pt>
                <c:pt idx="2">
                  <c:v>1.0333333333333332</c:v>
                </c:pt>
                <c:pt idx="3">
                  <c:v>1.2000000000000002</c:v>
                </c:pt>
                <c:pt idx="4">
                  <c:v>1.2000000000000002</c:v>
                </c:pt>
                <c:pt idx="5">
                  <c:v>1.2000000000000002</c:v>
                </c:pt>
                <c:pt idx="6">
                  <c:v>1.2000000000000002</c:v>
                </c:pt>
                <c:pt idx="7">
                  <c:v>1.2000000000000002</c:v>
                </c:pt>
                <c:pt idx="8">
                  <c:v>1.2000000000000002</c:v>
                </c:pt>
                <c:pt idx="9">
                  <c:v>1.2000000000000002</c:v>
                </c:pt>
                <c:pt idx="10">
                  <c:v>1.2000000000000002</c:v>
                </c:pt>
              </c:numCache>
            </c:numRef>
          </c:val>
          <c:smooth val="0"/>
          <c:extLst>
            <c:ext xmlns:c16="http://schemas.microsoft.com/office/drawing/2014/chart" uri="{C3380CC4-5D6E-409C-BE32-E72D297353CC}">
              <c16:uniqueId val="{00000003-E300-4711-B502-DC6A131A9212}"/>
            </c:ext>
          </c:extLst>
        </c:ser>
        <c:dLbls>
          <c:showLegendKey val="0"/>
          <c:showVal val="0"/>
          <c:showCatName val="0"/>
          <c:showSerName val="0"/>
          <c:showPercent val="0"/>
          <c:showBubbleSize val="0"/>
        </c:dLbls>
        <c:marker val="1"/>
        <c:smooth val="0"/>
        <c:axId val="1127457503"/>
        <c:axId val="1127458463"/>
      </c:lineChart>
      <c:catAx>
        <c:axId val="112745750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127458463"/>
        <c:crosses val="autoZero"/>
        <c:auto val="1"/>
        <c:lblAlgn val="ctr"/>
        <c:lblOffset val="100"/>
        <c:noMultiLvlLbl val="0"/>
      </c:catAx>
      <c:valAx>
        <c:axId val="1127458463"/>
        <c:scaling>
          <c:orientation val="minMax"/>
        </c:scaling>
        <c:delete val="0"/>
        <c:axPos val="l"/>
        <c:numFmt formatCode="[$$-409]#,##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745750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400050</xdr:colOff>
      <xdr:row>9</xdr:row>
      <xdr:rowOff>90487</xdr:rowOff>
    </xdr:from>
    <xdr:to>
      <xdr:col>21</xdr:col>
      <xdr:colOff>95250</xdr:colOff>
      <xdr:row>23</xdr:row>
      <xdr:rowOff>90487</xdr:rowOff>
    </xdr:to>
    <xdr:graphicFrame macro="">
      <xdr:nvGraphicFramePr>
        <xdr:cNvPr id="2" name="Chart 1">
          <a:extLst>
            <a:ext uri="{FF2B5EF4-FFF2-40B4-BE49-F238E27FC236}">
              <a16:creationId xmlns:a16="http://schemas.microsoft.com/office/drawing/2014/main" id="{8E2B2C1F-1EDF-2C07-E6F7-9184ACF72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57150</xdr:colOff>
      <xdr:row>14</xdr:row>
      <xdr:rowOff>119062</xdr:rowOff>
    </xdr:from>
    <xdr:to>
      <xdr:col>29</xdr:col>
      <xdr:colOff>361950</xdr:colOff>
      <xdr:row>29</xdr:row>
      <xdr:rowOff>4762</xdr:rowOff>
    </xdr:to>
    <xdr:graphicFrame macro="">
      <xdr:nvGraphicFramePr>
        <xdr:cNvPr id="3" name="Chart 2">
          <a:extLst>
            <a:ext uri="{FF2B5EF4-FFF2-40B4-BE49-F238E27FC236}">
              <a16:creationId xmlns:a16="http://schemas.microsoft.com/office/drawing/2014/main" id="{E8062C11-DCE7-3B34-9CE0-AC43C1345F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390525</xdr:colOff>
      <xdr:row>25</xdr:row>
      <xdr:rowOff>80962</xdr:rowOff>
    </xdr:from>
    <xdr:to>
      <xdr:col>21</xdr:col>
      <xdr:colOff>85725</xdr:colOff>
      <xdr:row>39</xdr:row>
      <xdr:rowOff>157162</xdr:rowOff>
    </xdr:to>
    <xdr:graphicFrame macro="">
      <xdr:nvGraphicFramePr>
        <xdr:cNvPr id="4" name="Chart 3">
          <a:extLst>
            <a:ext uri="{FF2B5EF4-FFF2-40B4-BE49-F238E27FC236}">
              <a16:creationId xmlns:a16="http://schemas.microsoft.com/office/drawing/2014/main" id="{4079994E-E276-7244-A510-F3CCED3808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66675</xdr:colOff>
      <xdr:row>31</xdr:row>
      <xdr:rowOff>14287</xdr:rowOff>
    </xdr:from>
    <xdr:to>
      <xdr:col>29</xdr:col>
      <xdr:colOff>371475</xdr:colOff>
      <xdr:row>45</xdr:row>
      <xdr:rowOff>90487</xdr:rowOff>
    </xdr:to>
    <xdr:graphicFrame macro="">
      <xdr:nvGraphicFramePr>
        <xdr:cNvPr id="5" name="Chart 4">
          <a:extLst>
            <a:ext uri="{FF2B5EF4-FFF2-40B4-BE49-F238E27FC236}">
              <a16:creationId xmlns:a16="http://schemas.microsoft.com/office/drawing/2014/main" id="{4CD2BC4A-5D4B-70A9-DCFC-205B20C046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466725</xdr:colOff>
      <xdr:row>41</xdr:row>
      <xdr:rowOff>185737</xdr:rowOff>
    </xdr:from>
    <xdr:to>
      <xdr:col>21</xdr:col>
      <xdr:colOff>161925</xdr:colOff>
      <xdr:row>56</xdr:row>
      <xdr:rowOff>71437</xdr:rowOff>
    </xdr:to>
    <xdr:graphicFrame macro="">
      <xdr:nvGraphicFramePr>
        <xdr:cNvPr id="6" name="Chart 5">
          <a:extLst>
            <a:ext uri="{FF2B5EF4-FFF2-40B4-BE49-F238E27FC236}">
              <a16:creationId xmlns:a16="http://schemas.microsoft.com/office/drawing/2014/main" id="{20A1114A-7474-B7B1-B6F3-E9E3B3B5D2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A1080-70C1-4276-BE14-249A94D472BE}">
  <dimension ref="A2:B13"/>
  <sheetViews>
    <sheetView workbookViewId="0">
      <selection activeCell="A8" sqref="A8"/>
    </sheetView>
  </sheetViews>
  <sheetFormatPr defaultRowHeight="14.4" x14ac:dyDescent="0.3"/>
  <cols>
    <col min="1" max="1" width="44.5546875" bestFit="1" customWidth="1"/>
    <col min="2" max="2" width="22.6640625" bestFit="1" customWidth="1"/>
  </cols>
  <sheetData>
    <row r="2" spans="1:2" ht="15.6" x14ac:dyDescent="0.3">
      <c r="A2" s="19" t="s">
        <v>15</v>
      </c>
    </row>
    <row r="4" spans="1:2" ht="15.6" x14ac:dyDescent="0.3">
      <c r="A4" s="19" t="s">
        <v>13</v>
      </c>
    </row>
    <row r="5" spans="1:2" ht="15.6" x14ac:dyDescent="0.3">
      <c r="A5" s="19" t="s">
        <v>14</v>
      </c>
    </row>
    <row r="7" spans="1:2" ht="15.6" x14ac:dyDescent="0.3">
      <c r="A7" s="19" t="s">
        <v>128</v>
      </c>
    </row>
    <row r="11" spans="1:2" x14ac:dyDescent="0.3">
      <c r="A11" s="20" t="s">
        <v>96</v>
      </c>
    </row>
    <row r="12" spans="1:2" x14ac:dyDescent="0.3">
      <c r="A12" s="37"/>
      <c r="B12" t="s">
        <v>29</v>
      </c>
    </row>
    <row r="13" spans="1:2" x14ac:dyDescent="0.3">
      <c r="A13" s="36"/>
      <c r="B13" t="s">
        <v>30</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833CB-2F0E-41BE-96F0-BEA2F7F4F711}">
  <dimension ref="A1:L25"/>
  <sheetViews>
    <sheetView workbookViewId="0">
      <pane xSplit="1" ySplit="2" topLeftCell="B10" activePane="bottomRight" state="frozen"/>
      <selection pane="topRight" activeCell="B1" sqref="B1"/>
      <selection pane="bottomLeft" activeCell="A3" sqref="A3"/>
      <selection pane="bottomRight" activeCell="H16" sqref="H16"/>
    </sheetView>
  </sheetViews>
  <sheetFormatPr defaultColWidth="12.6640625" defaultRowHeight="14.4" x14ac:dyDescent="0.3"/>
  <cols>
    <col min="1" max="1" width="35" bestFit="1" customWidth="1"/>
    <col min="2" max="2" width="17.5546875" customWidth="1"/>
    <col min="3" max="3" width="12.6640625" style="1"/>
    <col min="4" max="4" width="4.6640625" customWidth="1"/>
    <col min="5" max="6" width="14.88671875" customWidth="1"/>
    <col min="7" max="7" width="4.33203125" customWidth="1"/>
    <col min="8" max="9" width="14.88671875" customWidth="1"/>
    <col min="10" max="10" width="4.33203125" customWidth="1"/>
    <col min="11" max="12" width="15" customWidth="1"/>
  </cols>
  <sheetData>
    <row r="1" spans="1:12" x14ac:dyDescent="0.3">
      <c r="A1" s="33" t="s">
        <v>8</v>
      </c>
      <c r="B1" s="5"/>
      <c r="C1" s="38" t="s">
        <v>5</v>
      </c>
      <c r="D1" s="5"/>
      <c r="E1" s="62" t="s">
        <v>4</v>
      </c>
      <c r="F1" s="62"/>
      <c r="G1" s="5"/>
      <c r="H1" s="62" t="s">
        <v>97</v>
      </c>
      <c r="I1" s="62"/>
      <c r="J1" s="5"/>
      <c r="K1" s="62" t="s">
        <v>98</v>
      </c>
      <c r="L1" s="62"/>
    </row>
    <row r="2" spans="1:12" x14ac:dyDescent="0.3">
      <c r="A2" s="17" t="s">
        <v>10</v>
      </c>
      <c r="B2" s="17"/>
      <c r="C2" s="41">
        <v>1</v>
      </c>
      <c r="D2" s="42"/>
      <c r="E2" s="41">
        <v>2</v>
      </c>
      <c r="F2" s="41">
        <v>3</v>
      </c>
      <c r="G2" s="42"/>
      <c r="H2" s="41">
        <v>4</v>
      </c>
      <c r="I2" s="41">
        <v>5</v>
      </c>
      <c r="J2" s="42"/>
      <c r="K2" s="41">
        <v>6</v>
      </c>
      <c r="L2" s="18">
        <v>7</v>
      </c>
    </row>
    <row r="3" spans="1:12" s="14" customFormat="1" ht="28.8" x14ac:dyDescent="0.3">
      <c r="A3" s="13"/>
      <c r="B3" s="13" t="s">
        <v>0</v>
      </c>
      <c r="C3" s="43" t="s">
        <v>7</v>
      </c>
      <c r="D3" s="44"/>
      <c r="E3" s="43" t="s">
        <v>7</v>
      </c>
      <c r="F3" s="43" t="s">
        <v>100</v>
      </c>
      <c r="G3" s="44"/>
      <c r="H3" s="43" t="s">
        <v>7</v>
      </c>
      <c r="I3" s="43" t="s">
        <v>100</v>
      </c>
      <c r="J3" s="44"/>
      <c r="K3" s="43" t="s">
        <v>3</v>
      </c>
      <c r="L3" s="43" t="s">
        <v>100</v>
      </c>
    </row>
    <row r="4" spans="1:12" ht="15.6" x14ac:dyDescent="0.35">
      <c r="A4" t="s">
        <v>6</v>
      </c>
      <c r="B4" t="s">
        <v>60</v>
      </c>
      <c r="C4" s="12">
        <v>400000</v>
      </c>
      <c r="E4" s="12">
        <v>400000</v>
      </c>
      <c r="F4" s="12">
        <v>400000</v>
      </c>
      <c r="H4" s="12">
        <v>400000</v>
      </c>
      <c r="I4" s="12">
        <v>400000</v>
      </c>
      <c r="K4" s="12">
        <v>400000</v>
      </c>
      <c r="L4" s="12">
        <v>400000</v>
      </c>
    </row>
    <row r="5" spans="1:12" ht="15.6" x14ac:dyDescent="0.35">
      <c r="A5" s="5" t="s">
        <v>33</v>
      </c>
      <c r="B5" s="5" t="s">
        <v>61</v>
      </c>
      <c r="C5" s="11">
        <v>2000000</v>
      </c>
      <c r="D5" s="5"/>
      <c r="E5" s="11">
        <v>2000000</v>
      </c>
      <c r="F5" s="11">
        <v>2000000</v>
      </c>
      <c r="G5" s="5"/>
      <c r="H5" s="11">
        <v>2000000</v>
      </c>
      <c r="I5" s="11">
        <v>2000000</v>
      </c>
      <c r="J5" s="5"/>
      <c r="K5" s="11">
        <v>2000000</v>
      </c>
      <c r="L5" s="11">
        <v>2000000</v>
      </c>
    </row>
    <row r="6" spans="1:12" s="3" customFormat="1" ht="15.6" x14ac:dyDescent="0.35">
      <c r="A6" s="3" t="s">
        <v>34</v>
      </c>
      <c r="B6" s="3" t="s">
        <v>62</v>
      </c>
      <c r="C6" s="31">
        <v>2</v>
      </c>
      <c r="E6" s="30">
        <f>E7*(1-E8)</f>
        <v>1.7333333333333334</v>
      </c>
      <c r="F6" s="30">
        <f>F7*(1-F8)</f>
        <v>2.9</v>
      </c>
      <c r="H6" s="30">
        <f>H9/H14</f>
        <v>1.3333333333333333</v>
      </c>
      <c r="I6" s="30">
        <f>I9/I14</f>
        <v>1.3333333333333333</v>
      </c>
      <c r="K6" s="30">
        <f>K4/K15</f>
        <v>1.2000000000000002</v>
      </c>
      <c r="L6" s="30">
        <f>L4/L15</f>
        <v>1.2000000000000002</v>
      </c>
    </row>
    <row r="7" spans="1:12" s="3" customFormat="1" ht="15.6" x14ac:dyDescent="0.35">
      <c r="A7" s="9" t="s">
        <v>35</v>
      </c>
      <c r="B7" s="9" t="s">
        <v>63</v>
      </c>
      <c r="C7" s="29">
        <f>C12/C17</f>
        <v>2.5</v>
      </c>
      <c r="D7" s="9"/>
      <c r="E7" s="29">
        <f>E13/E14</f>
        <v>2.4761904761904763</v>
      </c>
      <c r="F7" s="29">
        <f>F13/F14</f>
        <v>4.1428571428571432</v>
      </c>
      <c r="G7" s="9"/>
      <c r="H7" s="29">
        <f>H12/H17</f>
        <v>2.4242424242424243</v>
      </c>
      <c r="I7" s="29">
        <f>I12/I17</f>
        <v>3.9393939393939394</v>
      </c>
      <c r="J7" s="9"/>
      <c r="K7" s="29">
        <f>K12/K17</f>
        <v>2.4000000000000004</v>
      </c>
      <c r="L7" s="29">
        <f>L12/L17</f>
        <v>3.9000000000000004</v>
      </c>
    </row>
    <row r="8" spans="1:12" ht="15.6" x14ac:dyDescent="0.35">
      <c r="A8" t="s">
        <v>36</v>
      </c>
      <c r="B8" t="s">
        <v>64</v>
      </c>
      <c r="E8" s="32">
        <v>0.3</v>
      </c>
      <c r="F8" s="32">
        <v>0.3</v>
      </c>
    </row>
    <row r="9" spans="1:12" ht="16.8" x14ac:dyDescent="0.35">
      <c r="A9" t="s">
        <v>11</v>
      </c>
      <c r="B9" t="s">
        <v>65</v>
      </c>
      <c r="C9" s="45"/>
      <c r="E9" s="45"/>
      <c r="F9" s="45"/>
      <c r="H9" s="12">
        <v>4000000</v>
      </c>
      <c r="I9" s="12">
        <v>4000000</v>
      </c>
    </row>
    <row r="10" spans="1:12" ht="16.8" x14ac:dyDescent="0.35">
      <c r="A10" s="5" t="s">
        <v>12</v>
      </c>
      <c r="B10" s="5" t="s">
        <v>66</v>
      </c>
      <c r="C10" s="6"/>
      <c r="D10" s="5"/>
      <c r="E10" s="9" t="s">
        <v>99</v>
      </c>
      <c r="F10" s="5"/>
      <c r="G10" s="5"/>
      <c r="H10" s="5"/>
      <c r="I10" s="5"/>
      <c r="J10" s="5"/>
      <c r="K10" s="11">
        <v>4000000</v>
      </c>
      <c r="L10" s="11">
        <v>4000000</v>
      </c>
    </row>
    <row r="11" spans="1:12" s="4" customFormat="1" ht="15.6" x14ac:dyDescent="0.35">
      <c r="A11" s="4" t="s">
        <v>49</v>
      </c>
      <c r="B11" s="4" t="s">
        <v>67</v>
      </c>
      <c r="C11" s="12">
        <v>10000000</v>
      </c>
      <c r="D11"/>
      <c r="E11" s="12">
        <v>10000000</v>
      </c>
      <c r="F11" s="12">
        <v>15000000</v>
      </c>
      <c r="G11"/>
      <c r="H11" s="12">
        <v>10000000</v>
      </c>
      <c r="I11" s="12">
        <v>15000000</v>
      </c>
      <c r="J11"/>
      <c r="K11" s="12">
        <v>10000000</v>
      </c>
      <c r="L11" s="12">
        <v>15000000</v>
      </c>
    </row>
    <row r="12" spans="1:12" s="4" customFormat="1" ht="16.8" x14ac:dyDescent="0.35">
      <c r="A12" s="4" t="s">
        <v>37</v>
      </c>
      <c r="B12" s="4" t="s">
        <v>68</v>
      </c>
      <c r="C12" s="23">
        <f>C11-C5</f>
        <v>8000000</v>
      </c>
      <c r="D12"/>
      <c r="E12" s="23">
        <f>E11-E5</f>
        <v>8000000</v>
      </c>
      <c r="F12" s="23">
        <f>F11-F5</f>
        <v>13000000</v>
      </c>
      <c r="G12"/>
      <c r="H12" s="23">
        <f>H11-H5</f>
        <v>8000000</v>
      </c>
      <c r="I12" s="23">
        <f>I11-I5</f>
        <v>13000000</v>
      </c>
      <c r="J12"/>
      <c r="K12" s="23">
        <f>K11-K5</f>
        <v>8000000</v>
      </c>
      <c r="L12" s="23">
        <f>L11-L5</f>
        <v>13000000</v>
      </c>
    </row>
    <row r="13" spans="1:12" s="4" customFormat="1" ht="16.8" x14ac:dyDescent="0.35">
      <c r="A13" s="8" t="s">
        <v>38</v>
      </c>
      <c r="B13" s="8" t="s">
        <v>69</v>
      </c>
      <c r="C13" s="24">
        <f>C7*C14</f>
        <v>7500000</v>
      </c>
      <c r="D13" s="5"/>
      <c r="E13" s="24">
        <f>E11-E5-E4/(1-E8)</f>
        <v>7428571.4285714282</v>
      </c>
      <c r="F13" s="24">
        <f>F11-F5-F4/(1-F8)</f>
        <v>12428571.428571429</v>
      </c>
      <c r="G13" s="5"/>
      <c r="H13" s="24">
        <f>H7*H14</f>
        <v>7272727.2727272725</v>
      </c>
      <c r="I13" s="24">
        <f>I7*I14</f>
        <v>11818181.818181818</v>
      </c>
      <c r="J13" s="5"/>
      <c r="K13" s="24">
        <f>K7*K14</f>
        <v>7200000.0000000009</v>
      </c>
      <c r="L13" s="24">
        <f>L7*L14</f>
        <v>11700000.000000002</v>
      </c>
    </row>
    <row r="14" spans="1:12" ht="15.6" x14ac:dyDescent="0.35">
      <c r="A14" t="s">
        <v>39</v>
      </c>
      <c r="B14" t="s">
        <v>50</v>
      </c>
      <c r="C14" s="10">
        <v>3000000</v>
      </c>
      <c r="E14" s="10">
        <v>3000000</v>
      </c>
      <c r="F14" s="10">
        <v>3000000</v>
      </c>
      <c r="H14" s="10">
        <v>3000000</v>
      </c>
      <c r="I14" s="10">
        <v>3000000</v>
      </c>
      <c r="K14" s="10">
        <v>3000000</v>
      </c>
      <c r="L14" s="10">
        <v>3000000</v>
      </c>
    </row>
    <row r="15" spans="1:12" ht="15.6" x14ac:dyDescent="0.35">
      <c r="A15" t="s">
        <v>45</v>
      </c>
      <c r="B15" t="s">
        <v>51</v>
      </c>
      <c r="C15" s="25">
        <f t="shared" ref="C15" si="0">C4/C6</f>
        <v>200000</v>
      </c>
      <c r="E15" s="25">
        <f>E4/E6</f>
        <v>230769.23076923075</v>
      </c>
      <c r="F15" s="25">
        <f t="shared" ref="F15" si="1">F4/F6</f>
        <v>137931.03448275864</v>
      </c>
      <c r="H15" s="25">
        <f>H4/H6</f>
        <v>300000</v>
      </c>
      <c r="I15" s="25">
        <f t="shared" ref="I15" si="2">I4/I6</f>
        <v>300000</v>
      </c>
      <c r="K15" s="25">
        <f>K23*K17</f>
        <v>333333.33333333331</v>
      </c>
      <c r="L15" s="25">
        <f>L23*L17</f>
        <v>333333.33333333331</v>
      </c>
    </row>
    <row r="16" spans="1:12" ht="15.6" x14ac:dyDescent="0.35">
      <c r="A16" s="5" t="s">
        <v>40</v>
      </c>
      <c r="B16" s="5" t="s">
        <v>52</v>
      </c>
      <c r="C16" s="26">
        <f>C5/C7</f>
        <v>800000</v>
      </c>
      <c r="D16" s="5"/>
      <c r="E16" s="26">
        <f>E5/E7</f>
        <v>807692.30769230763</v>
      </c>
      <c r="F16" s="26">
        <f t="shared" ref="F16" si="3">F5/F7</f>
        <v>482758.62068965513</v>
      </c>
      <c r="G16" s="5"/>
      <c r="H16" s="26">
        <f>H5/H7</f>
        <v>825000</v>
      </c>
      <c r="I16" s="26">
        <f t="shared" ref="I16" si="4">I5/I7</f>
        <v>507692.30769230769</v>
      </c>
      <c r="J16" s="5"/>
      <c r="K16" s="26">
        <f>K5/K7</f>
        <v>833333.33333333326</v>
      </c>
      <c r="L16" s="26">
        <f>L5/L7</f>
        <v>512820.51282051275</v>
      </c>
    </row>
    <row r="17" spans="1:12" ht="15.6" x14ac:dyDescent="0.35">
      <c r="A17" t="s">
        <v>41</v>
      </c>
      <c r="B17" t="s">
        <v>53</v>
      </c>
      <c r="C17" s="1">
        <f>C14+C15</f>
        <v>3200000</v>
      </c>
      <c r="E17" s="1">
        <f>E14+E15</f>
        <v>3230769.230769231</v>
      </c>
      <c r="F17" s="1">
        <f>F14+F15</f>
        <v>3137931.0344827585</v>
      </c>
      <c r="H17" s="1">
        <f>H14+H15</f>
        <v>3300000</v>
      </c>
      <c r="I17" s="1">
        <f>I14+I15</f>
        <v>3300000</v>
      </c>
      <c r="K17" s="1">
        <f>K14/(1-K23)</f>
        <v>3333333.333333333</v>
      </c>
      <c r="L17" s="1">
        <f>L14/(1-L23)</f>
        <v>3333333.333333333</v>
      </c>
    </row>
    <row r="18" spans="1:12" ht="15.6" x14ac:dyDescent="0.35">
      <c r="A18" s="5" t="s">
        <v>42</v>
      </c>
      <c r="B18" s="5" t="s">
        <v>54</v>
      </c>
      <c r="C18" s="6">
        <f>C17+C16</f>
        <v>4000000</v>
      </c>
      <c r="D18" s="5"/>
      <c r="E18" s="6">
        <f>E16+E17</f>
        <v>4038461.5384615385</v>
      </c>
      <c r="F18" s="6">
        <f>F16+F17</f>
        <v>3620689.6551724137</v>
      </c>
      <c r="G18" s="5"/>
      <c r="H18" s="6">
        <f>H16+H17</f>
        <v>4125000</v>
      </c>
      <c r="I18" s="6">
        <f>I16+I17</f>
        <v>3807692.3076923075</v>
      </c>
      <c r="J18" s="5"/>
      <c r="K18" s="6">
        <f>K16+K17</f>
        <v>4166666.666666666</v>
      </c>
      <c r="L18" s="6">
        <f>L16+L17</f>
        <v>3846153.846153846</v>
      </c>
    </row>
    <row r="19" spans="1:12" ht="15.6" x14ac:dyDescent="0.35">
      <c r="A19" t="s">
        <v>43</v>
      </c>
      <c r="B19" t="s">
        <v>55</v>
      </c>
      <c r="C19" s="39">
        <f t="shared" ref="C19:C21" si="5">C14/C$18</f>
        <v>0.75</v>
      </c>
      <c r="D19" s="39"/>
      <c r="E19" s="39">
        <f>E14/E18</f>
        <v>0.74285714285714288</v>
      </c>
      <c r="F19" s="39">
        <f>F14/F18</f>
        <v>0.82857142857142863</v>
      </c>
      <c r="G19" s="39"/>
      <c r="H19" s="39">
        <f>H14/H18</f>
        <v>0.72727272727272729</v>
      </c>
      <c r="I19" s="39">
        <f>I14/I18</f>
        <v>0.78787878787878796</v>
      </c>
      <c r="J19" s="39"/>
      <c r="K19" s="39">
        <f>K14/K18</f>
        <v>0.72000000000000008</v>
      </c>
      <c r="L19" s="39">
        <f>L14/L18</f>
        <v>0.78</v>
      </c>
    </row>
    <row r="20" spans="1:12" ht="15.6" x14ac:dyDescent="0.35">
      <c r="A20" t="s">
        <v>44</v>
      </c>
      <c r="B20" t="s">
        <v>56</v>
      </c>
      <c r="C20" s="39">
        <f t="shared" si="5"/>
        <v>0.05</v>
      </c>
      <c r="D20" s="39"/>
      <c r="E20" s="39">
        <f>E15/E18</f>
        <v>5.7142857142857141E-2</v>
      </c>
      <c r="F20" s="39">
        <f>F15/F18</f>
        <v>3.8095238095238099E-2</v>
      </c>
      <c r="G20" s="39"/>
      <c r="H20" s="39">
        <f>H15/H18</f>
        <v>7.2727272727272724E-2</v>
      </c>
      <c r="I20" s="39">
        <f>I15/I18</f>
        <v>7.8787878787878796E-2</v>
      </c>
      <c r="J20" s="39"/>
      <c r="K20" s="39">
        <f>K15/K18</f>
        <v>0.08</v>
      </c>
      <c r="L20" s="39">
        <f>L15/L18</f>
        <v>8.666666666666667E-2</v>
      </c>
    </row>
    <row r="21" spans="1:12" ht="15.6" x14ac:dyDescent="0.35">
      <c r="A21" s="5" t="s">
        <v>46</v>
      </c>
      <c r="B21" s="5" t="s">
        <v>57</v>
      </c>
      <c r="C21" s="40">
        <f t="shared" si="5"/>
        <v>0.2</v>
      </c>
      <c r="D21" s="40"/>
      <c r="E21" s="40">
        <f>E16/E18</f>
        <v>0.19999999999999998</v>
      </c>
      <c r="F21" s="40">
        <f>F16/F18</f>
        <v>0.13333333333333333</v>
      </c>
      <c r="G21" s="40"/>
      <c r="H21" s="40">
        <f>H16/H18</f>
        <v>0.2</v>
      </c>
      <c r="I21" s="40">
        <f>I16/I18</f>
        <v>0.13333333333333333</v>
      </c>
      <c r="J21" s="40"/>
      <c r="K21" s="40">
        <f>K16/K18</f>
        <v>0.2</v>
      </c>
      <c r="L21" s="40">
        <f>L16/L18</f>
        <v>0.13333333333333333</v>
      </c>
    </row>
    <row r="22" spans="1:12" ht="15.6" x14ac:dyDescent="0.35">
      <c r="A22" t="s">
        <v>47</v>
      </c>
      <c r="B22" t="s">
        <v>58</v>
      </c>
      <c r="C22" s="39">
        <f>C14/C17</f>
        <v>0.9375</v>
      </c>
      <c r="D22" s="39"/>
      <c r="E22" s="39">
        <f>E14/E17</f>
        <v>0.92857142857142849</v>
      </c>
      <c r="F22" s="39">
        <f>F14/F17</f>
        <v>0.95604395604395609</v>
      </c>
      <c r="G22" s="39"/>
      <c r="H22" s="39">
        <f>H14/H17</f>
        <v>0.90909090909090906</v>
      </c>
      <c r="I22" s="39">
        <f>I14/I17</f>
        <v>0.90909090909090906</v>
      </c>
      <c r="J22" s="39"/>
      <c r="K22" s="39">
        <f>1-K23</f>
        <v>0.9</v>
      </c>
      <c r="L22" s="39">
        <f>1-L23</f>
        <v>0.9</v>
      </c>
    </row>
    <row r="23" spans="1:12" ht="15.6" x14ac:dyDescent="0.35">
      <c r="A23" s="5" t="s">
        <v>48</v>
      </c>
      <c r="B23" s="5" t="s">
        <v>59</v>
      </c>
      <c r="C23" s="40">
        <f>C15/C17</f>
        <v>6.25E-2</v>
      </c>
      <c r="D23" s="40"/>
      <c r="E23" s="40">
        <f>E15/E17</f>
        <v>7.1428571428571425E-2</v>
      </c>
      <c r="F23" s="40">
        <f>F15/F17</f>
        <v>4.3956043956043966E-2</v>
      </c>
      <c r="G23" s="40"/>
      <c r="H23" s="40">
        <f>H15/H17</f>
        <v>9.0909090909090912E-2</v>
      </c>
      <c r="I23" s="40">
        <f>I15/I17</f>
        <v>9.0909090909090912E-2</v>
      </c>
      <c r="J23" s="40"/>
      <c r="K23" s="40">
        <f>K4/K10</f>
        <v>0.1</v>
      </c>
      <c r="L23" s="40">
        <f>L4/L10</f>
        <v>0.1</v>
      </c>
    </row>
    <row r="25" spans="1:12" x14ac:dyDescent="0.3">
      <c r="E25" s="3"/>
      <c r="F25" s="3"/>
    </row>
  </sheetData>
  <mergeCells count="3">
    <mergeCell ref="E1:F1"/>
    <mergeCell ref="H1:I1"/>
    <mergeCell ref="K1:L1"/>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25327-53DB-4ABC-815C-3712EA2BAC77}">
  <dimension ref="A1:J34"/>
  <sheetViews>
    <sheetView zoomScaleNormal="100" workbookViewId="0">
      <pane xSplit="1" ySplit="1" topLeftCell="B20" activePane="bottomRight" state="frozen"/>
      <selection pane="topRight" activeCell="B1" sqref="B1"/>
      <selection pane="bottomLeft" activeCell="A3" sqref="A3"/>
      <selection pane="bottomRight" activeCell="D26" sqref="D26"/>
    </sheetView>
  </sheetViews>
  <sheetFormatPr defaultColWidth="11.6640625" defaultRowHeight="14.4" x14ac:dyDescent="0.3"/>
  <cols>
    <col min="1" max="1" width="43.88671875" bestFit="1" customWidth="1"/>
    <col min="2" max="2" width="14.33203125" bestFit="1" customWidth="1"/>
    <col min="3" max="3" width="2.6640625" customWidth="1"/>
    <col min="4" max="4" width="24.33203125" bestFit="1" customWidth="1"/>
    <col min="5" max="5" width="3.33203125" customWidth="1"/>
    <col min="6" max="6" width="25.109375" bestFit="1" customWidth="1"/>
    <col min="7" max="7" width="3.33203125" customWidth="1"/>
    <col min="8" max="8" width="18" bestFit="1" customWidth="1"/>
    <col min="9" max="9" width="3.33203125" customWidth="1"/>
    <col min="10" max="10" width="16.5546875" customWidth="1"/>
  </cols>
  <sheetData>
    <row r="1" spans="1:10" x14ac:dyDescent="0.3">
      <c r="A1" s="34" t="s">
        <v>9</v>
      </c>
      <c r="C1" s="50"/>
      <c r="D1" s="46" t="s">
        <v>97</v>
      </c>
      <c r="E1" s="50"/>
      <c r="F1" s="46" t="s">
        <v>98</v>
      </c>
      <c r="G1" s="50"/>
      <c r="H1" s="46" t="s">
        <v>17</v>
      </c>
      <c r="I1" s="50"/>
      <c r="J1" s="46" t="s">
        <v>16</v>
      </c>
    </row>
    <row r="2" spans="1:10" x14ac:dyDescent="0.3">
      <c r="A2" s="21" t="s">
        <v>10</v>
      </c>
      <c r="B2" s="21"/>
      <c r="C2" s="51"/>
      <c r="D2" s="51">
        <v>8</v>
      </c>
      <c r="E2" s="51"/>
      <c r="F2" s="51">
        <v>9</v>
      </c>
      <c r="G2" s="51"/>
      <c r="H2" s="51"/>
      <c r="I2" s="51"/>
      <c r="J2" s="51"/>
    </row>
    <row r="3" spans="1:10" x14ac:dyDescent="0.3">
      <c r="A3" s="5"/>
      <c r="B3" s="13" t="s">
        <v>0</v>
      </c>
      <c r="C3" s="43"/>
      <c r="D3" s="43" t="s">
        <v>7</v>
      </c>
      <c r="E3" s="43"/>
      <c r="F3" s="43" t="s">
        <v>7</v>
      </c>
      <c r="G3" s="43"/>
      <c r="H3" s="43" t="s">
        <v>7</v>
      </c>
      <c r="I3" s="43"/>
      <c r="J3" s="43" t="s">
        <v>7</v>
      </c>
    </row>
    <row r="4" spans="1:10" ht="15.6" x14ac:dyDescent="0.35">
      <c r="A4" t="s">
        <v>1</v>
      </c>
      <c r="B4" t="s">
        <v>60</v>
      </c>
      <c r="C4" s="4"/>
      <c r="D4" s="12">
        <v>400000</v>
      </c>
      <c r="E4" s="4"/>
      <c r="F4" s="12">
        <v>400000</v>
      </c>
      <c r="G4" s="4"/>
      <c r="H4" s="12">
        <v>400000</v>
      </c>
      <c r="I4" s="4"/>
      <c r="J4" s="12">
        <v>400000</v>
      </c>
    </row>
    <row r="5" spans="1:10" ht="15.6" x14ac:dyDescent="0.35">
      <c r="A5" t="s">
        <v>2</v>
      </c>
      <c r="B5" t="s">
        <v>70</v>
      </c>
      <c r="C5" s="4"/>
      <c r="D5" s="12">
        <v>600000</v>
      </c>
      <c r="E5" s="4"/>
      <c r="F5" s="12">
        <v>600000</v>
      </c>
      <c r="G5" s="4"/>
      <c r="H5" s="12">
        <v>600000</v>
      </c>
      <c r="I5" s="4"/>
      <c r="J5" s="12">
        <v>600000</v>
      </c>
    </row>
    <row r="6" spans="1:10" ht="15.6" x14ac:dyDescent="0.35">
      <c r="A6" s="5" t="s">
        <v>33</v>
      </c>
      <c r="B6" s="5" t="s">
        <v>61</v>
      </c>
      <c r="C6" s="8"/>
      <c r="D6" s="11">
        <v>2000000</v>
      </c>
      <c r="E6" s="8"/>
      <c r="F6" s="11">
        <v>2000000</v>
      </c>
      <c r="G6" s="8"/>
      <c r="H6" s="11">
        <v>2000000</v>
      </c>
      <c r="I6" s="8"/>
      <c r="J6" s="11">
        <v>2000000</v>
      </c>
    </row>
    <row r="7" spans="1:10" s="3" customFormat="1" ht="15.6" x14ac:dyDescent="0.35">
      <c r="A7" s="3" t="s">
        <v>71</v>
      </c>
      <c r="B7" s="3" t="s">
        <v>62</v>
      </c>
      <c r="D7" s="30">
        <f>D12/D19</f>
        <v>1.3333333333333333</v>
      </c>
      <c r="F7" s="30">
        <f>F4/F20</f>
        <v>1</v>
      </c>
      <c r="H7" s="30">
        <f>H9*(1-H10)</f>
        <v>1.533333333333333</v>
      </c>
      <c r="J7" s="31">
        <v>2</v>
      </c>
    </row>
    <row r="8" spans="1:10" s="3" customFormat="1" ht="15.6" x14ac:dyDescent="0.35">
      <c r="A8" s="3" t="s">
        <v>72</v>
      </c>
      <c r="B8" s="3" t="s">
        <v>73</v>
      </c>
      <c r="D8" s="30">
        <f>D13/D19</f>
        <v>1.3333333333333333</v>
      </c>
      <c r="F8" s="30">
        <f>F5/F21</f>
        <v>1</v>
      </c>
      <c r="H8" s="30">
        <f>H9*(1-H11)</f>
        <v>1.533333333333333</v>
      </c>
      <c r="J8" s="31">
        <v>2</v>
      </c>
    </row>
    <row r="9" spans="1:10" s="3" customFormat="1" ht="15.6" x14ac:dyDescent="0.35">
      <c r="A9" s="9" t="s">
        <v>35</v>
      </c>
      <c r="B9" s="9" t="s">
        <v>63</v>
      </c>
      <c r="C9" s="9"/>
      <c r="D9" s="29">
        <f>D17/D24</f>
        <v>2.1333333333333333</v>
      </c>
      <c r="E9" s="9"/>
      <c r="F9" s="29">
        <f>F17/F24</f>
        <v>2</v>
      </c>
      <c r="G9" s="9"/>
      <c r="H9" s="30">
        <f>H18/H19</f>
        <v>2.1904761904761902</v>
      </c>
      <c r="I9" s="9"/>
      <c r="J9" s="30">
        <f>J17/J24</f>
        <v>2.2857142857142856</v>
      </c>
    </row>
    <row r="10" spans="1:10" s="3" customFormat="1" ht="15.6" x14ac:dyDescent="0.35">
      <c r="A10" t="s">
        <v>107</v>
      </c>
      <c r="B10" t="s">
        <v>64</v>
      </c>
      <c r="C10"/>
      <c r="D10"/>
      <c r="E10"/>
      <c r="F10"/>
      <c r="G10"/>
      <c r="H10" s="49">
        <v>0.3</v>
      </c>
      <c r="I10"/>
      <c r="J10" s="49">
        <v>0.3</v>
      </c>
    </row>
    <row r="11" spans="1:10" s="3" customFormat="1" ht="15.6" x14ac:dyDescent="0.35">
      <c r="A11" s="5" t="s">
        <v>108</v>
      </c>
      <c r="B11" s="5" t="s">
        <v>109</v>
      </c>
      <c r="C11" s="5"/>
      <c r="D11" s="5"/>
      <c r="E11" s="5"/>
      <c r="F11" s="5"/>
      <c r="G11" s="5"/>
      <c r="H11" s="48">
        <v>0.3</v>
      </c>
      <c r="I11" s="5"/>
      <c r="J11" s="48">
        <v>0.3</v>
      </c>
    </row>
    <row r="12" spans="1:10" ht="16.8" x14ac:dyDescent="0.35">
      <c r="A12" t="s">
        <v>74</v>
      </c>
      <c r="B12" t="s">
        <v>75</v>
      </c>
      <c r="C12" s="4"/>
      <c r="D12" s="12">
        <v>4000000</v>
      </c>
      <c r="E12" s="4"/>
      <c r="G12" s="4"/>
      <c r="I12" s="4"/>
    </row>
    <row r="13" spans="1:10" ht="16.8" x14ac:dyDescent="0.35">
      <c r="A13" s="5" t="s">
        <v>77</v>
      </c>
      <c r="B13" s="5" t="s">
        <v>76</v>
      </c>
      <c r="C13" s="8"/>
      <c r="D13" s="11">
        <v>4000000</v>
      </c>
      <c r="E13" s="8"/>
      <c r="F13" s="5"/>
      <c r="G13" s="8"/>
      <c r="H13" s="5"/>
      <c r="I13" s="8"/>
      <c r="J13" s="5"/>
    </row>
    <row r="14" spans="1:10" ht="16.8" x14ac:dyDescent="0.35">
      <c r="A14" t="s">
        <v>78</v>
      </c>
      <c r="B14" t="s">
        <v>79</v>
      </c>
      <c r="F14" s="12">
        <v>4000000</v>
      </c>
    </row>
    <row r="15" spans="1:10" ht="16.8" x14ac:dyDescent="0.35">
      <c r="A15" s="5" t="s">
        <v>80</v>
      </c>
      <c r="B15" s="5" t="s">
        <v>81</v>
      </c>
      <c r="C15" s="5"/>
      <c r="D15" s="5"/>
      <c r="E15" s="5"/>
      <c r="F15" s="11">
        <v>4000000</v>
      </c>
      <c r="G15" s="5"/>
      <c r="H15" s="5"/>
      <c r="I15" s="5"/>
      <c r="J15" s="5"/>
    </row>
    <row r="16" spans="1:10" s="15" customFormat="1" ht="15.6" x14ac:dyDescent="0.35">
      <c r="A16" s="4" t="s">
        <v>49</v>
      </c>
      <c r="B16" s="4" t="s">
        <v>67</v>
      </c>
      <c r="D16" s="16">
        <v>10000000</v>
      </c>
      <c r="F16" s="16">
        <v>10000000</v>
      </c>
      <c r="H16" s="16">
        <v>10000000</v>
      </c>
      <c r="J16" s="16">
        <v>10000000</v>
      </c>
    </row>
    <row r="17" spans="1:10" s="15" customFormat="1" ht="16.8" x14ac:dyDescent="0.35">
      <c r="A17" s="4" t="s">
        <v>37</v>
      </c>
      <c r="B17" s="4" t="s">
        <v>68</v>
      </c>
      <c r="D17" s="27">
        <f>D16-D6</f>
        <v>8000000</v>
      </c>
      <c r="F17" s="27">
        <f>F16-F6</f>
        <v>8000000</v>
      </c>
      <c r="H17" s="27">
        <f>H16-H6</f>
        <v>8000000</v>
      </c>
      <c r="J17" s="27">
        <f>J16-J6</f>
        <v>8000000</v>
      </c>
    </row>
    <row r="18" spans="1:10" s="15" customFormat="1" ht="16.8" x14ac:dyDescent="0.35">
      <c r="A18" s="8" t="s">
        <v>38</v>
      </c>
      <c r="B18" s="8" t="s">
        <v>69</v>
      </c>
      <c r="C18" s="52"/>
      <c r="D18" s="28">
        <f>D9*D19</f>
        <v>6400000</v>
      </c>
      <c r="E18" s="52"/>
      <c r="F18" s="28">
        <f>F9*F19</f>
        <v>6000000</v>
      </c>
      <c r="G18" s="52"/>
      <c r="H18" s="28">
        <f>H17-(H4/(1-H10))-(H5/(1-H11))</f>
        <v>6571428.5714285709</v>
      </c>
      <c r="I18" s="52"/>
      <c r="J18" s="28">
        <f>J9*J19</f>
        <v>6857142.8571428563</v>
      </c>
    </row>
    <row r="19" spans="1:10" ht="15.6" x14ac:dyDescent="0.35">
      <c r="A19" t="s">
        <v>39</v>
      </c>
      <c r="B19" t="s">
        <v>50</v>
      </c>
      <c r="C19" s="1"/>
      <c r="D19" s="10">
        <v>3000000</v>
      </c>
      <c r="E19" s="1"/>
      <c r="F19" s="10">
        <v>3000000</v>
      </c>
      <c r="G19" s="1"/>
      <c r="H19" s="10">
        <v>3000000</v>
      </c>
      <c r="I19" s="1"/>
      <c r="J19" s="10">
        <v>3000000</v>
      </c>
    </row>
    <row r="20" spans="1:10" ht="15.6" x14ac:dyDescent="0.35">
      <c r="A20" t="s">
        <v>82</v>
      </c>
      <c r="B20" t="s">
        <v>51</v>
      </c>
      <c r="C20" s="1"/>
      <c r="D20" s="25">
        <f>D4/D7</f>
        <v>300000</v>
      </c>
      <c r="E20" s="1"/>
      <c r="F20" s="25">
        <f>F31*F24</f>
        <v>400000</v>
      </c>
      <c r="G20" s="1"/>
      <c r="H20" s="25">
        <f>H4/H7</f>
        <v>260869.56521739135</v>
      </c>
      <c r="I20" s="1"/>
      <c r="J20" s="25">
        <f>J4/J7</f>
        <v>200000</v>
      </c>
    </row>
    <row r="21" spans="1:10" ht="15.6" x14ac:dyDescent="0.35">
      <c r="A21" t="s">
        <v>83</v>
      </c>
      <c r="B21" t="s">
        <v>84</v>
      </c>
      <c r="C21" s="1"/>
      <c r="D21" s="25">
        <f>D5/D8</f>
        <v>450000</v>
      </c>
      <c r="E21" s="1"/>
      <c r="F21" s="25">
        <f>F32*F24</f>
        <v>600000</v>
      </c>
      <c r="G21" s="1"/>
      <c r="H21" s="25">
        <f>H5/H8</f>
        <v>391304.34782608703</v>
      </c>
      <c r="I21" s="1"/>
      <c r="J21" s="25">
        <f>J5/J8</f>
        <v>300000</v>
      </c>
    </row>
    <row r="22" spans="1:10" ht="15.6" x14ac:dyDescent="0.35">
      <c r="A22" s="5" t="s">
        <v>40</v>
      </c>
      <c r="B22" s="5" t="s">
        <v>52</v>
      </c>
      <c r="C22" s="6"/>
      <c r="D22" s="26">
        <f>D6/D9</f>
        <v>937500</v>
      </c>
      <c r="E22" s="6"/>
      <c r="F22" s="26">
        <f>F6/F9</f>
        <v>1000000</v>
      </c>
      <c r="G22" s="6"/>
      <c r="H22" s="26">
        <f>H6/H9</f>
        <v>913043.47826086963</v>
      </c>
      <c r="I22" s="6"/>
      <c r="J22" s="26">
        <f>J6/J9</f>
        <v>875000</v>
      </c>
    </row>
    <row r="23" spans="1:10" ht="15.6" x14ac:dyDescent="0.35">
      <c r="A23" t="s">
        <v>41</v>
      </c>
      <c r="B23" t="s">
        <v>53</v>
      </c>
      <c r="C23" s="1"/>
      <c r="D23" s="1">
        <f>D19+D20</f>
        <v>3300000</v>
      </c>
      <c r="E23" s="1"/>
      <c r="F23" s="1">
        <f>F19+F20</f>
        <v>3400000</v>
      </c>
      <c r="G23" s="1"/>
      <c r="H23" s="1">
        <f>H19+H20</f>
        <v>3260869.5652173916</v>
      </c>
      <c r="I23" s="1"/>
      <c r="J23" s="1">
        <f>J19+J20</f>
        <v>3200000</v>
      </c>
    </row>
    <row r="24" spans="1:10" ht="15.6" x14ac:dyDescent="0.35">
      <c r="A24" t="s">
        <v>85</v>
      </c>
      <c r="B24" t="s">
        <v>86</v>
      </c>
      <c r="C24" s="1"/>
      <c r="D24" s="1">
        <f t="shared" ref="D24:D25" si="0">D23+D21</f>
        <v>3750000</v>
      </c>
      <c r="E24" s="1"/>
      <c r="F24" s="1">
        <f>F19/(1-F31-F32)</f>
        <v>4000000</v>
      </c>
      <c r="G24" s="1"/>
      <c r="H24" s="1">
        <f>H23+H21</f>
        <v>3652173.9130434785</v>
      </c>
      <c r="I24" s="1"/>
      <c r="J24" s="1">
        <f>J23+J21</f>
        <v>3500000</v>
      </c>
    </row>
    <row r="25" spans="1:10" ht="15.6" x14ac:dyDescent="0.35">
      <c r="A25" s="5" t="s">
        <v>42</v>
      </c>
      <c r="B25" s="5" t="s">
        <v>54</v>
      </c>
      <c r="C25" s="6"/>
      <c r="D25" s="6">
        <f t="shared" si="0"/>
        <v>4687500</v>
      </c>
      <c r="E25" s="6"/>
      <c r="F25" s="6">
        <f>F24+F22</f>
        <v>5000000</v>
      </c>
      <c r="G25" s="6"/>
      <c r="H25" s="6">
        <f>H24+H22</f>
        <v>4565217.3913043477</v>
      </c>
      <c r="I25" s="6"/>
      <c r="J25" s="6">
        <f>J24+J22</f>
        <v>4375000</v>
      </c>
    </row>
    <row r="26" spans="1:10" ht="15.6" x14ac:dyDescent="0.35">
      <c r="A26" t="s">
        <v>43</v>
      </c>
      <c r="B26" t="s">
        <v>55</v>
      </c>
      <c r="C26" s="39"/>
      <c r="D26" s="39">
        <f>D19/D$25</f>
        <v>0.64</v>
      </c>
      <c r="E26" s="39"/>
      <c r="F26" s="39">
        <f>F19/F$25</f>
        <v>0.6</v>
      </c>
      <c r="G26" s="39"/>
      <c r="H26" s="39">
        <f>H19/H$25</f>
        <v>0.65714285714285714</v>
      </c>
      <c r="I26" s="39"/>
      <c r="J26" s="39">
        <f>J19/J$25</f>
        <v>0.68571428571428572</v>
      </c>
    </row>
    <row r="27" spans="1:10" ht="15.6" x14ac:dyDescent="0.35">
      <c r="A27" t="s">
        <v>87</v>
      </c>
      <c r="B27" t="s">
        <v>56</v>
      </c>
      <c r="C27" s="39"/>
      <c r="D27" s="39">
        <f>D20/D$25</f>
        <v>6.4000000000000001E-2</v>
      </c>
      <c r="E27" s="39"/>
      <c r="F27" s="39">
        <f>F20/F$25</f>
        <v>0.08</v>
      </c>
      <c r="G27" s="39"/>
      <c r="H27" s="39">
        <f>H20/H$25</f>
        <v>5.7142857142857155E-2</v>
      </c>
      <c r="I27" s="39"/>
      <c r="J27" s="39">
        <f>J20/J$25</f>
        <v>4.5714285714285714E-2</v>
      </c>
    </row>
    <row r="28" spans="1:10" ht="15.6" x14ac:dyDescent="0.35">
      <c r="A28" t="s">
        <v>88</v>
      </c>
      <c r="B28" t="s">
        <v>89</v>
      </c>
      <c r="C28" s="39"/>
      <c r="D28" s="39">
        <f>D21/D$25</f>
        <v>9.6000000000000002E-2</v>
      </c>
      <c r="E28" s="39"/>
      <c r="F28" s="39">
        <f>F21/F$25</f>
        <v>0.12</v>
      </c>
      <c r="G28" s="39"/>
      <c r="H28" s="39">
        <f>H21/H$25</f>
        <v>8.5714285714285729E-2</v>
      </c>
      <c r="I28" s="39"/>
      <c r="J28" s="39">
        <f>J21/J$25</f>
        <v>6.8571428571428575E-2</v>
      </c>
    </row>
    <row r="29" spans="1:10" ht="15.6" x14ac:dyDescent="0.35">
      <c r="A29" s="5" t="s">
        <v>46</v>
      </c>
      <c r="B29" s="5" t="s">
        <v>57</v>
      </c>
      <c r="C29" s="40"/>
      <c r="D29" s="40">
        <f>D22/D$25</f>
        <v>0.2</v>
      </c>
      <c r="E29" s="40"/>
      <c r="F29" s="40">
        <f>F22/F$25</f>
        <v>0.2</v>
      </c>
      <c r="G29" s="40"/>
      <c r="H29" s="40">
        <f>H22/H$25</f>
        <v>0.2</v>
      </c>
      <c r="I29" s="40"/>
      <c r="J29" s="40">
        <f>J22/J$25</f>
        <v>0.2</v>
      </c>
    </row>
    <row r="30" spans="1:10" s="2" customFormat="1" ht="15.6" x14ac:dyDescent="0.35">
      <c r="A30" t="s">
        <v>93</v>
      </c>
      <c r="B30" t="s">
        <v>58</v>
      </c>
      <c r="C30" s="39"/>
      <c r="D30" s="39">
        <f>D19/D$24</f>
        <v>0.8</v>
      </c>
      <c r="E30" s="39"/>
      <c r="F30" s="39">
        <f>1-F31-F32</f>
        <v>0.75</v>
      </c>
      <c r="G30" s="39"/>
      <c r="H30" s="39">
        <f>H19/H$24</f>
        <v>0.8214285714285714</v>
      </c>
      <c r="I30" s="39"/>
      <c r="J30" s="39">
        <f>J19/J$24</f>
        <v>0.8571428571428571</v>
      </c>
    </row>
    <row r="31" spans="1:10" s="2" customFormat="1" ht="15.6" x14ac:dyDescent="0.35">
      <c r="A31" t="s">
        <v>90</v>
      </c>
      <c r="B31" t="s">
        <v>91</v>
      </c>
      <c r="C31" s="39"/>
      <c r="D31" s="39">
        <f>D20/D$24</f>
        <v>0.08</v>
      </c>
      <c r="E31" s="39"/>
      <c r="F31" s="39">
        <f>F4/F14</f>
        <v>0.1</v>
      </c>
      <c r="G31" s="39"/>
      <c r="H31" s="39">
        <f>H20/H$24</f>
        <v>7.1428571428571438E-2</v>
      </c>
      <c r="I31" s="39"/>
      <c r="J31" s="39">
        <f>J20/J$24</f>
        <v>5.7142857142857141E-2</v>
      </c>
    </row>
    <row r="32" spans="1:10" s="2" customFormat="1" ht="15.6" x14ac:dyDescent="0.35">
      <c r="A32" s="5" t="s">
        <v>95</v>
      </c>
      <c r="B32" s="5" t="s">
        <v>92</v>
      </c>
      <c r="C32" s="40"/>
      <c r="D32" s="40">
        <f>D21/D$24</f>
        <v>0.12</v>
      </c>
      <c r="E32" s="40"/>
      <c r="F32" s="40">
        <f>F5/F15</f>
        <v>0.15</v>
      </c>
      <c r="G32" s="40"/>
      <c r="H32" s="40">
        <f>H21/H$24</f>
        <v>0.10714285714285715</v>
      </c>
      <c r="I32" s="40"/>
      <c r="J32" s="40">
        <f>J21/J$24</f>
        <v>8.5714285714285715E-2</v>
      </c>
    </row>
    <row r="33" spans="1:10" ht="15.6" x14ac:dyDescent="0.35">
      <c r="A33" t="s">
        <v>47</v>
      </c>
      <c r="B33" t="s">
        <v>58</v>
      </c>
      <c r="C33" s="39"/>
      <c r="D33" s="39">
        <f>D19/D23</f>
        <v>0.90909090909090906</v>
      </c>
      <c r="E33" s="39"/>
      <c r="F33" s="39">
        <f>1-F34</f>
        <v>0.9</v>
      </c>
      <c r="G33" s="39"/>
      <c r="H33" s="39">
        <f>H19/H23</f>
        <v>0.91999999999999993</v>
      </c>
      <c r="I33" s="39"/>
      <c r="J33" s="39">
        <f>J19/J23</f>
        <v>0.9375</v>
      </c>
    </row>
    <row r="34" spans="1:10" ht="15.6" x14ac:dyDescent="0.35">
      <c r="A34" s="5" t="s">
        <v>94</v>
      </c>
      <c r="B34" s="5" t="s">
        <v>59</v>
      </c>
      <c r="C34" s="40"/>
      <c r="D34" s="40">
        <f>D20/D23</f>
        <v>9.0909090909090912E-2</v>
      </c>
      <c r="E34" s="40"/>
      <c r="F34" s="40">
        <f>F4/F14</f>
        <v>0.1</v>
      </c>
      <c r="G34" s="40"/>
      <c r="H34" s="40">
        <f>H20/H23</f>
        <v>0.08</v>
      </c>
      <c r="I34" s="40"/>
      <c r="J34" s="40">
        <f>J20/J23</f>
        <v>6.25E-2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14B1A-5557-48AF-AEAF-2891F374BA55}">
  <dimension ref="A1:N43"/>
  <sheetViews>
    <sheetView workbookViewId="0">
      <selection activeCell="B47" sqref="B47"/>
    </sheetView>
  </sheetViews>
  <sheetFormatPr defaultRowHeight="14.4" x14ac:dyDescent="0.3"/>
  <cols>
    <col min="1" max="1" width="40.5546875" bestFit="1" customWidth="1"/>
    <col min="2" max="2" width="30.33203125" bestFit="1" customWidth="1"/>
    <col min="3" max="7" width="10.109375" bestFit="1" customWidth="1"/>
    <col min="8" max="13" width="11.109375" bestFit="1" customWidth="1"/>
  </cols>
  <sheetData>
    <row r="1" spans="1:14" x14ac:dyDescent="0.3">
      <c r="A1" s="55" t="s">
        <v>117</v>
      </c>
    </row>
    <row r="2" spans="1:14" ht="15.6" x14ac:dyDescent="0.35">
      <c r="A2" t="s">
        <v>39</v>
      </c>
      <c r="B2" t="s">
        <v>50</v>
      </c>
      <c r="C2" s="10">
        <v>3000000</v>
      </c>
      <c r="D2" s="1"/>
      <c r="E2" s="1"/>
      <c r="F2" s="1"/>
      <c r="G2" s="1"/>
      <c r="H2" s="1"/>
      <c r="I2" s="1"/>
      <c r="J2" s="1"/>
      <c r="K2" s="1"/>
      <c r="L2" s="1"/>
      <c r="M2" s="1"/>
    </row>
    <row r="3" spans="1:14" ht="15.6" x14ac:dyDescent="0.35">
      <c r="A3" t="s">
        <v>6</v>
      </c>
      <c r="B3" t="s">
        <v>60</v>
      </c>
      <c r="C3" s="12">
        <v>400000</v>
      </c>
      <c r="D3" s="4"/>
      <c r="E3" s="4"/>
      <c r="F3" s="4"/>
      <c r="G3" s="4"/>
      <c r="H3" s="4"/>
      <c r="I3" s="4"/>
      <c r="J3" s="4"/>
      <c r="K3" s="4"/>
      <c r="L3" s="4"/>
      <c r="M3" s="4"/>
    </row>
    <row r="4" spans="1:14" ht="15.6" x14ac:dyDescent="0.35">
      <c r="A4" t="s">
        <v>33</v>
      </c>
      <c r="B4" t="s">
        <v>61</v>
      </c>
      <c r="C4" s="12">
        <v>2000000</v>
      </c>
      <c r="D4" s="4"/>
      <c r="E4" s="4"/>
      <c r="F4" s="4"/>
      <c r="G4" s="4"/>
      <c r="H4" s="4"/>
      <c r="I4" s="4"/>
      <c r="J4" s="4"/>
      <c r="K4" s="4"/>
      <c r="L4" s="4"/>
      <c r="M4" s="4"/>
    </row>
    <row r="5" spans="1:14" ht="15.6" x14ac:dyDescent="0.35">
      <c r="A5" s="3" t="s">
        <v>34</v>
      </c>
      <c r="B5" s="3" t="s">
        <v>62</v>
      </c>
      <c r="C5" s="31">
        <v>2</v>
      </c>
      <c r="D5" s="3"/>
      <c r="E5" s="3"/>
      <c r="F5" s="3"/>
      <c r="G5" s="3"/>
      <c r="H5" s="3"/>
      <c r="I5" s="3"/>
      <c r="J5" s="3"/>
      <c r="K5" s="3"/>
      <c r="L5" s="3"/>
      <c r="M5" s="3"/>
      <c r="N5" s="3"/>
    </row>
    <row r="6" spans="1:14" ht="15.6" x14ac:dyDescent="0.35">
      <c r="A6" t="s">
        <v>36</v>
      </c>
      <c r="B6" t="s">
        <v>64</v>
      </c>
      <c r="C6" s="32">
        <v>0.3</v>
      </c>
    </row>
    <row r="7" spans="1:14" ht="16.8" x14ac:dyDescent="0.35">
      <c r="A7" t="s">
        <v>11</v>
      </c>
      <c r="B7" t="s">
        <v>65</v>
      </c>
      <c r="C7" s="12">
        <v>4000000</v>
      </c>
    </row>
    <row r="8" spans="1:14" ht="16.8" x14ac:dyDescent="0.35">
      <c r="A8" t="s">
        <v>12</v>
      </c>
      <c r="B8" t="s">
        <v>66</v>
      </c>
      <c r="C8" s="12">
        <v>4000000</v>
      </c>
    </row>
    <row r="9" spans="1:14" ht="15.6" x14ac:dyDescent="0.35">
      <c r="A9" s="4" t="s">
        <v>49</v>
      </c>
      <c r="B9" s="4" t="s">
        <v>67</v>
      </c>
      <c r="C9" s="12">
        <v>5000000</v>
      </c>
      <c r="D9" s="12">
        <v>6000000</v>
      </c>
      <c r="E9" s="12">
        <v>7000000</v>
      </c>
      <c r="F9" s="12">
        <v>8000000</v>
      </c>
      <c r="G9" s="12">
        <v>9000000</v>
      </c>
      <c r="H9" s="12">
        <v>10000000</v>
      </c>
      <c r="I9" s="12">
        <v>11000000</v>
      </c>
      <c r="J9" s="12">
        <v>12000000</v>
      </c>
      <c r="K9" s="12">
        <v>13000000</v>
      </c>
      <c r="L9" s="12">
        <v>14000000</v>
      </c>
      <c r="M9" s="12">
        <v>15000000</v>
      </c>
      <c r="N9" s="4"/>
    </row>
    <row r="10" spans="1:14" x14ac:dyDescent="0.3">
      <c r="A10" t="s">
        <v>116</v>
      </c>
      <c r="C10" s="12" t="s">
        <v>18</v>
      </c>
      <c r="D10" s="12" t="s">
        <v>19</v>
      </c>
      <c r="E10" s="12" t="s">
        <v>20</v>
      </c>
      <c r="F10" s="12" t="s">
        <v>21</v>
      </c>
      <c r="G10" s="12" t="s">
        <v>22</v>
      </c>
      <c r="H10" s="12" t="s">
        <v>23</v>
      </c>
      <c r="I10" s="12" t="s">
        <v>24</v>
      </c>
      <c r="J10" s="12" t="s">
        <v>25</v>
      </c>
      <c r="K10" s="12" t="s">
        <v>26</v>
      </c>
      <c r="L10" s="12" t="s">
        <v>27</v>
      </c>
      <c r="M10" s="12" t="s">
        <v>28</v>
      </c>
    </row>
    <row r="11" spans="1:14" ht="15.6" x14ac:dyDescent="0.35">
      <c r="A11" s="53" t="s">
        <v>106</v>
      </c>
      <c r="B11" s="30" t="s">
        <v>112</v>
      </c>
      <c r="C11" s="23" t="str">
        <f>Calculations!C49</f>
        <v>No</v>
      </c>
      <c r="D11" s="23" t="str">
        <f>Calculations!D49</f>
        <v>No</v>
      </c>
      <c r="E11" s="23" t="str">
        <f>Calculations!E49</f>
        <v>No</v>
      </c>
      <c r="F11" s="23" t="str">
        <f>Calculations!F49</f>
        <v>No</v>
      </c>
      <c r="G11" s="23" t="str">
        <f>Calculations!G49</f>
        <v>Yes</v>
      </c>
      <c r="H11" s="23" t="str">
        <f>Calculations!H49</f>
        <v>Yes</v>
      </c>
      <c r="I11" s="23" t="str">
        <f>Calculations!I49</f>
        <v>Yes</v>
      </c>
      <c r="J11" s="23" t="str">
        <f>Calculations!J49</f>
        <v>Yes</v>
      </c>
      <c r="K11" s="23" t="str">
        <f>Calculations!K49</f>
        <v>Yes</v>
      </c>
      <c r="L11" s="23" t="str">
        <f>Calculations!L49</f>
        <v>Yes</v>
      </c>
      <c r="M11" s="23" t="str">
        <f>Calculations!M49</f>
        <v>Yes</v>
      </c>
    </row>
    <row r="12" spans="1:14" ht="15.6" x14ac:dyDescent="0.35">
      <c r="A12" s="53" t="s">
        <v>105</v>
      </c>
      <c r="B12" s="30" t="s">
        <v>112</v>
      </c>
      <c r="C12" s="54" t="str">
        <f>Calculations!C72</f>
        <v>No</v>
      </c>
      <c r="D12" s="54" t="str">
        <f>Calculations!D72</f>
        <v>No</v>
      </c>
      <c r="E12" s="54" t="str">
        <f>Calculations!E72</f>
        <v>No</v>
      </c>
      <c r="F12" s="54" t="str">
        <f>Calculations!F72</f>
        <v>Yes</v>
      </c>
      <c r="G12" s="54" t="str">
        <f>Calculations!G72</f>
        <v>Yes</v>
      </c>
      <c r="H12" s="54" t="str">
        <f>Calculations!H72</f>
        <v>Yes</v>
      </c>
      <c r="I12" s="54" t="str">
        <f>Calculations!I72</f>
        <v>Yes</v>
      </c>
      <c r="J12" s="54" t="str">
        <f>Calculations!J72</f>
        <v>Yes</v>
      </c>
      <c r="K12" s="54" t="str">
        <f>Calculations!K72</f>
        <v>Yes</v>
      </c>
      <c r="L12" s="54" t="str">
        <f>Calculations!L72</f>
        <v>Yes</v>
      </c>
      <c r="M12" s="54" t="str">
        <f>Calculations!M72</f>
        <v>Yes</v>
      </c>
    </row>
    <row r="15" spans="1:14" x14ac:dyDescent="0.3">
      <c r="A15" s="34" t="s">
        <v>124</v>
      </c>
      <c r="C15" s="4" t="str">
        <f t="shared" ref="C15:M15" si="0">C$10</f>
        <v>$5M</v>
      </c>
      <c r="D15" s="4" t="str">
        <f t="shared" si="0"/>
        <v>$6M</v>
      </c>
      <c r="E15" s="4" t="str">
        <f t="shared" si="0"/>
        <v>$7M</v>
      </c>
      <c r="F15" s="4" t="str">
        <f t="shared" si="0"/>
        <v>$8M</v>
      </c>
      <c r="G15" s="4" t="str">
        <f t="shared" si="0"/>
        <v>$9M</v>
      </c>
      <c r="H15" s="4" t="str">
        <f t="shared" si="0"/>
        <v>$10M</v>
      </c>
      <c r="I15" s="4" t="str">
        <f t="shared" si="0"/>
        <v>$11M</v>
      </c>
      <c r="J15" s="4" t="str">
        <f t="shared" si="0"/>
        <v>$12M</v>
      </c>
      <c r="K15" s="4" t="str">
        <f t="shared" si="0"/>
        <v>$13M</v>
      </c>
      <c r="L15" s="4" t="str">
        <f t="shared" si="0"/>
        <v>$14M</v>
      </c>
      <c r="M15" s="4" t="str">
        <f t="shared" si="0"/>
        <v>$15M</v>
      </c>
    </row>
    <row r="16" spans="1:14" x14ac:dyDescent="0.3">
      <c r="B16" t="s">
        <v>101</v>
      </c>
      <c r="C16" s="2">
        <f>Calculations!C15</f>
        <v>3.7499999999999999E-2</v>
      </c>
      <c r="D16" s="2">
        <f>Calculations!D15</f>
        <v>4.1666666666666664E-2</v>
      </c>
      <c r="E16" s="2">
        <f>Calculations!E15</f>
        <v>4.4642857142857144E-2</v>
      </c>
      <c r="F16" s="2">
        <f>Calculations!F15</f>
        <v>4.6875E-2</v>
      </c>
      <c r="G16" s="2">
        <f>Calculations!G15</f>
        <v>4.8611111111111105E-2</v>
      </c>
      <c r="H16" s="2">
        <f>Calculations!H15</f>
        <v>0.05</v>
      </c>
      <c r="I16" s="2">
        <f>Calculations!I15</f>
        <v>5.113636363636364E-2</v>
      </c>
      <c r="J16" s="2">
        <f>Calculations!J15</f>
        <v>5.2083333333333336E-2</v>
      </c>
      <c r="K16" s="2">
        <f>Calculations!K15</f>
        <v>5.2884615384615384E-2</v>
      </c>
      <c r="L16" s="2">
        <f>Calculations!L15</f>
        <v>5.3571428571428568E-2</v>
      </c>
      <c r="M16" s="2">
        <f>Calculations!M15</f>
        <v>5.4166666666666662E-2</v>
      </c>
    </row>
    <row r="17" spans="1:13" x14ac:dyDescent="0.3">
      <c r="B17" t="s">
        <v>4</v>
      </c>
      <c r="C17" s="2">
        <f>Calculations!C36</f>
        <v>0.11428571428571428</v>
      </c>
      <c r="D17" s="2">
        <f>Calculations!D36</f>
        <v>9.5238095238095247E-2</v>
      </c>
      <c r="E17" s="2">
        <f>Calculations!E36</f>
        <v>8.1632653061224483E-2</v>
      </c>
      <c r="F17" s="2">
        <f>Calculations!F36</f>
        <v>7.1428571428571438E-2</v>
      </c>
      <c r="G17" s="2">
        <f>Calculations!G36</f>
        <v>6.3492063492063502E-2</v>
      </c>
      <c r="H17" s="2">
        <f>Calculations!H36</f>
        <v>5.7142857142857141E-2</v>
      </c>
      <c r="I17" s="2">
        <f>Calculations!I36</f>
        <v>5.1948051948051945E-2</v>
      </c>
      <c r="J17" s="2">
        <f>Calculations!J36</f>
        <v>4.7619047619047616E-2</v>
      </c>
      <c r="K17" s="2">
        <f>Calculations!K36</f>
        <v>4.3956043956043959E-2</v>
      </c>
      <c r="L17" s="2">
        <f>Calculations!L36</f>
        <v>4.0816326530612242E-2</v>
      </c>
      <c r="M17" s="2">
        <f>Calculations!M36</f>
        <v>3.8095238095238099E-2</v>
      </c>
    </row>
    <row r="18" spans="1:13" x14ac:dyDescent="0.3">
      <c r="B18" t="s">
        <v>31</v>
      </c>
      <c r="C18" s="2">
        <f>IF(C11="Yes",Calculations!C59,Calculations!C36)</f>
        <v>0.11428571428571428</v>
      </c>
      <c r="D18" s="2">
        <f>IF(D11="Yes",Calculations!D59,Calculations!D36)</f>
        <v>9.5238095238095247E-2</v>
      </c>
      <c r="E18" s="2">
        <f>IF(E11="Yes",Calculations!E59,Calculations!E36)</f>
        <v>8.1632653061224483E-2</v>
      </c>
      <c r="F18" s="2">
        <f>IF(F11="Yes",Calculations!F59,Calculations!F36)</f>
        <v>7.1428571428571438E-2</v>
      </c>
      <c r="G18" s="2">
        <f>IF(G11="Yes",Calculations!G59,Calculations!G36)</f>
        <v>7.0707070707070704E-2</v>
      </c>
      <c r="H18" s="2">
        <f>IF(H11="Yes",Calculations!H59,Calculations!H36)</f>
        <v>7.2727272727272724E-2</v>
      </c>
      <c r="I18" s="2">
        <f>IF(I11="Yes",Calculations!I59,Calculations!I36)</f>
        <v>7.43801652892562E-2</v>
      </c>
      <c r="J18" s="2">
        <f>IF(J11="Yes",Calculations!J59,Calculations!J36)</f>
        <v>7.575757575757576E-2</v>
      </c>
      <c r="K18" s="2">
        <f>IF(K11="Yes",Calculations!K59,Calculations!K36)</f>
        <v>7.6923076923076927E-2</v>
      </c>
      <c r="L18" s="2">
        <f>IF(L11="Yes",Calculations!L59,Calculations!L36)</f>
        <v>7.792207792207792E-2</v>
      </c>
      <c r="M18" s="2">
        <f>IF(M11="Yes",Calculations!M59,Calculations!M36)</f>
        <v>7.8787878787878796E-2</v>
      </c>
    </row>
    <row r="19" spans="1:13" x14ac:dyDescent="0.3">
      <c r="B19" t="s">
        <v>32</v>
      </c>
      <c r="C19" s="2">
        <f>IF(C12="Yes",Calculations!C82,Calculations!C36)</f>
        <v>0.11428571428571428</v>
      </c>
      <c r="D19" s="2">
        <f>IF(D12="Yes",Calculations!D82,Calculations!D36)</f>
        <v>9.5238095238095247E-2</v>
      </c>
      <c r="E19" s="2">
        <f>IF(E12="Yes",Calculations!E82,Calculations!E36)</f>
        <v>8.1632653061224483E-2</v>
      </c>
      <c r="F19" s="2">
        <f>IF(F12="Yes",Calculations!F82,Calculations!F36)</f>
        <v>7.4999999999999997E-2</v>
      </c>
      <c r="G19" s="2">
        <f>IF(G12="Yes",Calculations!G82,Calculations!G36)</f>
        <v>7.7777777777777779E-2</v>
      </c>
      <c r="H19" s="2">
        <f>IF(H12="Yes",Calculations!H82,Calculations!H36)</f>
        <v>0.08</v>
      </c>
      <c r="I19" s="2">
        <f>IF(I12="Yes",Calculations!I82,Calculations!I36)</f>
        <v>8.1818181818181818E-2</v>
      </c>
      <c r="J19" s="2">
        <f>IF(J12="Yes",Calculations!J82,Calculations!J36)</f>
        <v>8.3333333333333343E-2</v>
      </c>
      <c r="K19" s="2">
        <f>IF(K12="Yes",Calculations!K82,Calculations!K36)</f>
        <v>8.461538461538462E-2</v>
      </c>
      <c r="L19" s="2">
        <f>IF(L12="Yes",Calculations!L82,Calculations!L36)</f>
        <v>8.5714285714285715E-2</v>
      </c>
      <c r="M19" s="2">
        <f>IF(M12="Yes",Calculations!M82,Calculations!M36)</f>
        <v>8.666666666666667E-2</v>
      </c>
    </row>
    <row r="21" spans="1:13" x14ac:dyDescent="0.3">
      <c r="A21" s="34" t="s">
        <v>125</v>
      </c>
      <c r="C21" s="4" t="str">
        <f t="shared" ref="C21:M21" si="1">C$10</f>
        <v>$5M</v>
      </c>
      <c r="D21" s="4" t="str">
        <f t="shared" si="1"/>
        <v>$6M</v>
      </c>
      <c r="E21" s="4" t="str">
        <f t="shared" si="1"/>
        <v>$7M</v>
      </c>
      <c r="F21" s="4" t="str">
        <f t="shared" si="1"/>
        <v>$8M</v>
      </c>
      <c r="G21" s="4" t="str">
        <f t="shared" si="1"/>
        <v>$9M</v>
      </c>
      <c r="H21" s="4" t="str">
        <f t="shared" si="1"/>
        <v>$10M</v>
      </c>
      <c r="I21" s="4" t="str">
        <f t="shared" si="1"/>
        <v>$11M</v>
      </c>
      <c r="J21" s="4" t="str">
        <f t="shared" si="1"/>
        <v>$12M</v>
      </c>
      <c r="K21" s="4" t="str">
        <f t="shared" si="1"/>
        <v>$13M</v>
      </c>
      <c r="L21" s="4" t="str">
        <f t="shared" si="1"/>
        <v>$14M</v>
      </c>
      <c r="M21" s="4" t="str">
        <f t="shared" si="1"/>
        <v>$15M</v>
      </c>
    </row>
    <row r="22" spans="1:13" x14ac:dyDescent="0.3">
      <c r="B22" t="s">
        <v>101</v>
      </c>
      <c r="C22" s="2">
        <f>Calculations!C14</f>
        <v>0.56249999999999989</v>
      </c>
      <c r="D22" s="2">
        <f>Calculations!D14</f>
        <v>0.625</v>
      </c>
      <c r="E22" s="2">
        <f>Calculations!E14</f>
        <v>0.6696428571428571</v>
      </c>
      <c r="F22" s="2">
        <f>Calculations!F14</f>
        <v>0.703125</v>
      </c>
      <c r="G22" s="2">
        <f>Calculations!G14</f>
        <v>0.72916666666666663</v>
      </c>
      <c r="H22" s="2">
        <f>Calculations!H14</f>
        <v>0.75</v>
      </c>
      <c r="I22" s="2">
        <f>Calculations!I14</f>
        <v>0.76704545454545459</v>
      </c>
      <c r="J22" s="2">
        <f>Calculations!J14</f>
        <v>0.78125</v>
      </c>
      <c r="K22" s="2">
        <f>Calculations!K14</f>
        <v>0.79326923076923084</v>
      </c>
      <c r="L22" s="2">
        <f>Calculations!L14</f>
        <v>0.80357142857142849</v>
      </c>
      <c r="M22" s="2">
        <f>Calculations!M14</f>
        <v>0.8125</v>
      </c>
    </row>
    <row r="23" spans="1:13" x14ac:dyDescent="0.3">
      <c r="B23" t="s">
        <v>4</v>
      </c>
      <c r="C23" s="2">
        <f>Calculations!C35</f>
        <v>0.48571428571428571</v>
      </c>
      <c r="D23" s="2">
        <f>Calculations!D35</f>
        <v>0.5714285714285714</v>
      </c>
      <c r="E23" s="2">
        <f>Calculations!E35</f>
        <v>0.63265306122448972</v>
      </c>
      <c r="F23" s="2">
        <f>Calculations!F35</f>
        <v>0.67857142857142838</v>
      </c>
      <c r="G23" s="2">
        <f>Calculations!G35</f>
        <v>0.7142857142857143</v>
      </c>
      <c r="H23" s="2">
        <f>Calculations!H35</f>
        <v>0.74285714285714288</v>
      </c>
      <c r="I23" s="2">
        <f>Calculations!I35</f>
        <v>0.76623376623376627</v>
      </c>
      <c r="J23" s="2">
        <f>Calculations!J35</f>
        <v>0.78571428571428581</v>
      </c>
      <c r="K23" s="2">
        <f>Calculations!K35</f>
        <v>0.80219780219780223</v>
      </c>
      <c r="L23" s="2">
        <f>Calculations!L35</f>
        <v>0.81632653061224492</v>
      </c>
      <c r="M23" s="2">
        <f>Calculations!M35</f>
        <v>0.82857142857142863</v>
      </c>
    </row>
    <row r="24" spans="1:13" x14ac:dyDescent="0.3">
      <c r="B24" t="s">
        <v>31</v>
      </c>
      <c r="C24" s="2">
        <f>IF(C11="Yes",Calculations!C58,Calculations!C35)</f>
        <v>0.48571428571428571</v>
      </c>
      <c r="D24" s="2">
        <f>IF(D11="Yes",Calculations!D58,Calculations!D35)</f>
        <v>0.5714285714285714</v>
      </c>
      <c r="E24" s="2">
        <f>IF(E11="Yes",Calculations!E58,Calculations!E35)</f>
        <v>0.63265306122448972</v>
      </c>
      <c r="F24" s="2">
        <f>IF(F11="Yes",Calculations!F58,Calculations!F35)</f>
        <v>0.67857142857142838</v>
      </c>
      <c r="G24" s="2">
        <f>IF(G11="Yes",Calculations!G58,Calculations!G35)</f>
        <v>0.70707070707070707</v>
      </c>
      <c r="H24" s="2">
        <f>IF(H11="Yes",Calculations!H58,Calculations!H35)</f>
        <v>0.72727272727272729</v>
      </c>
      <c r="I24" s="2">
        <f>IF(I11="Yes",Calculations!I58,Calculations!I35)</f>
        <v>0.74380165289256195</v>
      </c>
      <c r="J24" s="2">
        <f>IF(J11="Yes",Calculations!J58,Calculations!J35)</f>
        <v>0.75757575757575757</v>
      </c>
      <c r="K24" s="2">
        <f>IF(K11="Yes",Calculations!K58,Calculations!K35)</f>
        <v>0.76923076923076927</v>
      </c>
      <c r="L24" s="2">
        <f>IF(L11="Yes",Calculations!L58,Calculations!L35)</f>
        <v>0.77922077922077926</v>
      </c>
      <c r="M24" s="2">
        <f>IF(M11="Yes",Calculations!M58,Calculations!M35)</f>
        <v>0.78787878787878796</v>
      </c>
    </row>
    <row r="25" spans="1:13" x14ac:dyDescent="0.3">
      <c r="B25" t="s">
        <v>32</v>
      </c>
      <c r="C25" s="2">
        <f>IF(C12="Yes",Calculations!C81,Calculations!C35)</f>
        <v>0.48571428571428571</v>
      </c>
      <c r="D25" s="2">
        <f>IF(D12="Yes",Calculations!D81,Calculations!D35)</f>
        <v>0.5714285714285714</v>
      </c>
      <c r="E25" s="2">
        <f>IF(E12="Yes",Calculations!E81,Calculations!E35)</f>
        <v>0.63265306122448972</v>
      </c>
      <c r="F25" s="2">
        <f>IF(F12="Yes",Calculations!F81,Calculations!F35)</f>
        <v>0.67500000000000004</v>
      </c>
      <c r="G25" s="2">
        <f>IF(G12="Yes",Calculations!G81,Calculations!G35)</f>
        <v>0.70000000000000007</v>
      </c>
      <c r="H25" s="2">
        <f>IF(H12="Yes",Calculations!H81,Calculations!H35)</f>
        <v>0.72000000000000008</v>
      </c>
      <c r="I25" s="2">
        <f>IF(I12="Yes",Calculations!I81,Calculations!I35)</f>
        <v>0.73636363636363644</v>
      </c>
      <c r="J25" s="2">
        <f>IF(J12="Yes",Calculations!J81,Calculations!J35)</f>
        <v>0.75000000000000011</v>
      </c>
      <c r="K25" s="2">
        <f>IF(K12="Yes",Calculations!K81,Calculations!K35)</f>
        <v>0.76153846153846161</v>
      </c>
      <c r="L25" s="2">
        <f>IF(L12="Yes",Calculations!L81,Calculations!L35)</f>
        <v>0.77142857142857146</v>
      </c>
      <c r="M25" s="2">
        <f>IF(M12="Yes",Calculations!M81,Calculations!M35)</f>
        <v>0.78</v>
      </c>
    </row>
    <row r="27" spans="1:13" x14ac:dyDescent="0.3">
      <c r="A27" s="34" t="s">
        <v>126</v>
      </c>
      <c r="C27" s="4" t="str">
        <f t="shared" ref="C27:M27" si="2">C$10</f>
        <v>$5M</v>
      </c>
      <c r="D27" s="4" t="str">
        <f t="shared" si="2"/>
        <v>$6M</v>
      </c>
      <c r="E27" s="4" t="str">
        <f t="shared" si="2"/>
        <v>$7M</v>
      </c>
      <c r="F27" s="4" t="str">
        <f t="shared" si="2"/>
        <v>$8M</v>
      </c>
      <c r="G27" s="4" t="str">
        <f t="shared" si="2"/>
        <v>$9M</v>
      </c>
      <c r="H27" s="4" t="str">
        <f t="shared" si="2"/>
        <v>$10M</v>
      </c>
      <c r="I27" s="4" t="str">
        <f t="shared" si="2"/>
        <v>$11M</v>
      </c>
      <c r="J27" s="4" t="str">
        <f t="shared" si="2"/>
        <v>$12M</v>
      </c>
      <c r="K27" s="4" t="str">
        <f t="shared" si="2"/>
        <v>$13M</v>
      </c>
      <c r="L27" s="4" t="str">
        <f t="shared" si="2"/>
        <v>$14M</v>
      </c>
      <c r="M27" s="4" t="str">
        <f t="shared" si="2"/>
        <v>$15M</v>
      </c>
    </row>
    <row r="28" spans="1:13" x14ac:dyDescent="0.3">
      <c r="B28" t="s">
        <v>101</v>
      </c>
      <c r="C28" s="2">
        <f>Calculations!C18</f>
        <v>6.25E-2</v>
      </c>
      <c r="D28" s="2">
        <f>Calculations!D18</f>
        <v>6.25E-2</v>
      </c>
      <c r="E28" s="2">
        <f>Calculations!E18</f>
        <v>6.25E-2</v>
      </c>
      <c r="F28" s="2">
        <f>Calculations!F18</f>
        <v>6.25E-2</v>
      </c>
      <c r="G28" s="2">
        <f>Calculations!G18</f>
        <v>6.25E-2</v>
      </c>
      <c r="H28" s="2">
        <f>Calculations!H18</f>
        <v>6.25E-2</v>
      </c>
      <c r="I28" s="2">
        <f>Calculations!I18</f>
        <v>6.25E-2</v>
      </c>
      <c r="J28" s="2">
        <f>Calculations!J18</f>
        <v>6.25E-2</v>
      </c>
      <c r="K28" s="2">
        <f>Calculations!K18</f>
        <v>6.25E-2</v>
      </c>
      <c r="L28" s="2">
        <f>Calculations!L18</f>
        <v>6.25E-2</v>
      </c>
      <c r="M28" s="2">
        <f>Calculations!M18</f>
        <v>6.25E-2</v>
      </c>
    </row>
    <row r="29" spans="1:13" x14ac:dyDescent="0.3">
      <c r="B29" t="s">
        <v>4</v>
      </c>
      <c r="C29" s="2">
        <f>Calculations!C39</f>
        <v>0.19047619047619049</v>
      </c>
      <c r="D29" s="2">
        <f>Calculations!D39</f>
        <v>0.14285714285714288</v>
      </c>
      <c r="E29" s="2">
        <f>Calculations!E39</f>
        <v>0.1142857142857143</v>
      </c>
      <c r="F29" s="2">
        <f>Calculations!F39</f>
        <v>9.5238095238095261E-2</v>
      </c>
      <c r="G29" s="2">
        <f>Calculations!G39</f>
        <v>8.1632653061224497E-2</v>
      </c>
      <c r="H29" s="2">
        <f>Calculations!H39</f>
        <v>7.1428571428571425E-2</v>
      </c>
      <c r="I29" s="2">
        <f>Calculations!I39</f>
        <v>6.3492063492063475E-2</v>
      </c>
      <c r="J29" s="2">
        <f>Calculations!J39</f>
        <v>5.7142857142857141E-2</v>
      </c>
      <c r="K29" s="2">
        <f>Calculations!K39</f>
        <v>5.1948051948051951E-2</v>
      </c>
      <c r="L29" s="2">
        <f>Calculations!L39</f>
        <v>4.7619047619047616E-2</v>
      </c>
      <c r="M29" s="2">
        <f>Calculations!M39</f>
        <v>4.3956043956043966E-2</v>
      </c>
    </row>
    <row r="30" spans="1:13" x14ac:dyDescent="0.3">
      <c r="B30" t="s">
        <v>31</v>
      </c>
      <c r="C30" s="2">
        <f>IF(C11="Yes",Calculations!C62,Calculations!C39)</f>
        <v>0.19047619047619049</v>
      </c>
      <c r="D30" s="2">
        <f>IF(D11="Yes",Calculations!D62,Calculations!D39)</f>
        <v>0.14285714285714288</v>
      </c>
      <c r="E30" s="2">
        <f>IF(E11="Yes",Calculations!E62,Calculations!E39)</f>
        <v>0.1142857142857143</v>
      </c>
      <c r="F30" s="2">
        <f>IF(F11="Yes",Calculations!F62,Calculations!F39)</f>
        <v>9.5238095238095261E-2</v>
      </c>
      <c r="G30" s="2">
        <f>IF(G11="Yes",Calculations!G62,Calculations!G39)</f>
        <v>9.0909090909090912E-2</v>
      </c>
      <c r="H30" s="2">
        <f>IF(H11="Yes",Calculations!H62,Calculations!H39)</f>
        <v>9.0909090909090912E-2</v>
      </c>
      <c r="I30" s="2">
        <f>IF(I11="Yes",Calculations!I62,Calculations!I39)</f>
        <v>9.0909090909090912E-2</v>
      </c>
      <c r="J30" s="2">
        <f>IF(J11="Yes",Calculations!J62,Calculations!J39)</f>
        <v>9.0909090909090912E-2</v>
      </c>
      <c r="K30" s="2">
        <f>IF(K11="Yes",Calculations!K62,Calculations!K39)</f>
        <v>9.0909090909090912E-2</v>
      </c>
      <c r="L30" s="2">
        <f>IF(L11="Yes",Calculations!L62,Calculations!L39)</f>
        <v>9.0909090909090912E-2</v>
      </c>
      <c r="M30" s="2">
        <f>IF(M11="Yes",Calculations!M62,Calculations!M39)</f>
        <v>9.0909090909090912E-2</v>
      </c>
    </row>
    <row r="31" spans="1:13" x14ac:dyDescent="0.3">
      <c r="B31" t="s">
        <v>32</v>
      </c>
      <c r="C31" s="2">
        <f>IF(C12="Yes",Calculations!C85,Calculations!C39)</f>
        <v>0.19047619047619049</v>
      </c>
      <c r="D31" s="2">
        <f>IF(D12="Yes",Calculations!D85,Calculations!D39)</f>
        <v>0.14285714285714288</v>
      </c>
      <c r="E31" s="2">
        <f>IF(E12="Yes",Calculations!E85,Calculations!E39)</f>
        <v>0.1142857142857143</v>
      </c>
      <c r="F31" s="2">
        <f>IF(F12="Yes",Calculations!F85,Calculations!F39)</f>
        <v>0.1</v>
      </c>
      <c r="G31" s="2">
        <f>IF(G12="Yes",Calculations!G85,Calculations!G39)</f>
        <v>0.1</v>
      </c>
      <c r="H31" s="2">
        <f>IF(H12="Yes",Calculations!H85,Calculations!H39)</f>
        <v>0.1</v>
      </c>
      <c r="I31" s="2">
        <f>IF(I12="Yes",Calculations!I85,Calculations!I39)</f>
        <v>0.1</v>
      </c>
      <c r="J31" s="2">
        <f>IF(J12="Yes",Calculations!J85,Calculations!J39)</f>
        <v>0.1</v>
      </c>
      <c r="K31" s="2">
        <f>IF(K12="Yes",Calculations!K85,Calculations!K39)</f>
        <v>0.1</v>
      </c>
      <c r="L31" s="2">
        <f>IF(L12="Yes",Calculations!L85,Calculations!L39)</f>
        <v>0.1</v>
      </c>
      <c r="M31" s="2">
        <f>IF(M12="Yes",Calculations!M85,Calculations!M39)</f>
        <v>0.1</v>
      </c>
    </row>
    <row r="33" spans="1:13" x14ac:dyDescent="0.3">
      <c r="A33" s="34" t="s">
        <v>127</v>
      </c>
      <c r="C33" s="4" t="str">
        <f t="shared" ref="C33:M33" si="3">C$10</f>
        <v>$5M</v>
      </c>
      <c r="D33" s="4" t="str">
        <f t="shared" si="3"/>
        <v>$6M</v>
      </c>
      <c r="E33" s="4" t="str">
        <f t="shared" si="3"/>
        <v>$7M</v>
      </c>
      <c r="F33" s="4" t="str">
        <f t="shared" si="3"/>
        <v>$8M</v>
      </c>
      <c r="G33" s="4" t="str">
        <f t="shared" si="3"/>
        <v>$9M</v>
      </c>
      <c r="H33" s="4" t="str">
        <f t="shared" si="3"/>
        <v>$10M</v>
      </c>
      <c r="I33" s="4" t="str">
        <f t="shared" si="3"/>
        <v>$11M</v>
      </c>
      <c r="J33" s="4" t="str">
        <f t="shared" si="3"/>
        <v>$12M</v>
      </c>
      <c r="K33" s="4" t="str">
        <f t="shared" si="3"/>
        <v>$13M</v>
      </c>
      <c r="L33" s="4" t="str">
        <f t="shared" si="3"/>
        <v>$14M</v>
      </c>
      <c r="M33" s="4" t="str">
        <f t="shared" si="3"/>
        <v>$15M</v>
      </c>
    </row>
    <row r="34" spans="1:13" x14ac:dyDescent="0.3">
      <c r="B34" t="s">
        <v>101</v>
      </c>
      <c r="C34" s="2">
        <f>Calculations!C17</f>
        <v>0.9375</v>
      </c>
      <c r="D34" s="2">
        <f>Calculations!D17</f>
        <v>0.9375</v>
      </c>
      <c r="E34" s="2">
        <f>Calculations!E17</f>
        <v>0.9375</v>
      </c>
      <c r="F34" s="2">
        <f>Calculations!F17</f>
        <v>0.9375</v>
      </c>
      <c r="G34" s="2">
        <f>Calculations!G17</f>
        <v>0.9375</v>
      </c>
      <c r="H34" s="2">
        <f>Calculations!H17</f>
        <v>0.9375</v>
      </c>
      <c r="I34" s="2">
        <f>Calculations!I17</f>
        <v>0.9375</v>
      </c>
      <c r="J34" s="2">
        <f>Calculations!J17</f>
        <v>0.9375</v>
      </c>
      <c r="K34" s="2">
        <f>Calculations!K17</f>
        <v>0.9375</v>
      </c>
      <c r="L34" s="2">
        <f>Calculations!L17</f>
        <v>0.9375</v>
      </c>
      <c r="M34" s="2">
        <f>Calculations!M17</f>
        <v>0.9375</v>
      </c>
    </row>
    <row r="35" spans="1:13" x14ac:dyDescent="0.3">
      <c r="B35" t="s">
        <v>4</v>
      </c>
      <c r="C35" s="2">
        <f>Calculations!C38</f>
        <v>0.80952380952380953</v>
      </c>
      <c r="D35" s="2">
        <f>Calculations!D38</f>
        <v>0.8571428571428571</v>
      </c>
      <c r="E35" s="2">
        <f>Calculations!E38</f>
        <v>0.88571428571428568</v>
      </c>
      <c r="F35" s="2">
        <f>Calculations!F38</f>
        <v>0.90476190476190466</v>
      </c>
      <c r="G35" s="2">
        <f>Calculations!G38</f>
        <v>0.91836734693877553</v>
      </c>
      <c r="H35" s="2">
        <f>Calculations!H38</f>
        <v>0.92857142857142849</v>
      </c>
      <c r="I35" s="2">
        <f>Calculations!I38</f>
        <v>0.93650793650793651</v>
      </c>
      <c r="J35" s="2">
        <f>Calculations!J38</f>
        <v>0.94285714285714295</v>
      </c>
      <c r="K35" s="2">
        <f>Calculations!K38</f>
        <v>0.94805194805194803</v>
      </c>
      <c r="L35" s="2">
        <f>Calculations!L38</f>
        <v>0.95238095238095233</v>
      </c>
      <c r="M35" s="2">
        <f>Calculations!M38</f>
        <v>0.95604395604395609</v>
      </c>
    </row>
    <row r="36" spans="1:13" x14ac:dyDescent="0.3">
      <c r="B36" t="s">
        <v>31</v>
      </c>
      <c r="C36" s="2">
        <f>IF(C11="Yes",Calculations!C61,Calculations!C38)</f>
        <v>0.80952380952380953</v>
      </c>
      <c r="D36" s="2">
        <f>IF(D11="Yes",Calculations!D61,Calculations!D38)</f>
        <v>0.8571428571428571</v>
      </c>
      <c r="E36" s="2">
        <f>IF(E11="Yes",Calculations!E61,Calculations!E38)</f>
        <v>0.88571428571428568</v>
      </c>
      <c r="F36" s="2">
        <f>IF(F11="Yes",Calculations!F61,Calculations!F38)</f>
        <v>0.90476190476190466</v>
      </c>
      <c r="G36" s="2">
        <f>IF(G11="Yes",Calculations!G61,Calculations!G38)</f>
        <v>0.90909090909090906</v>
      </c>
      <c r="H36" s="2">
        <f>IF(H11="Yes",Calculations!H61,Calculations!H38)</f>
        <v>0.90909090909090906</v>
      </c>
      <c r="I36" s="2">
        <f>IF(I11="Yes",Calculations!I61,Calculations!I38)</f>
        <v>0.90909090909090906</v>
      </c>
      <c r="J36" s="2">
        <f>IF(J11="Yes",Calculations!J61,Calculations!J38)</f>
        <v>0.90909090909090906</v>
      </c>
      <c r="K36" s="2">
        <f>IF(K11="Yes",Calculations!K61,Calculations!K38)</f>
        <v>0.90909090909090906</v>
      </c>
      <c r="L36" s="2">
        <f>IF(L11="Yes",Calculations!L61,Calculations!L38)</f>
        <v>0.90909090909090906</v>
      </c>
      <c r="M36" s="2">
        <f>IF(M11="Yes",Calculations!M61,Calculations!M38)</f>
        <v>0.90909090909090906</v>
      </c>
    </row>
    <row r="37" spans="1:13" x14ac:dyDescent="0.3">
      <c r="B37" t="s">
        <v>32</v>
      </c>
      <c r="C37" s="2">
        <f>IF(C12="Yes",Calculations!C84,Calculations!C38)</f>
        <v>0.80952380952380953</v>
      </c>
      <c r="D37" s="2">
        <f>IF(D12="Yes",Calculations!D84,Calculations!D38)</f>
        <v>0.8571428571428571</v>
      </c>
      <c r="E37" s="2">
        <f>IF(E12="Yes",Calculations!E84,Calculations!E38)</f>
        <v>0.88571428571428568</v>
      </c>
      <c r="F37" s="2">
        <f>IF(F12="Yes",Calculations!F84,Calculations!F38)</f>
        <v>0.9</v>
      </c>
      <c r="G37" s="2">
        <f>IF(G12="Yes",Calculations!G84,Calculations!G38)</f>
        <v>0.9</v>
      </c>
      <c r="H37" s="2">
        <f>IF(H12="Yes",Calculations!H84,Calculations!H38)</f>
        <v>0.9</v>
      </c>
      <c r="I37" s="2">
        <f>IF(I12="Yes",Calculations!I84,Calculations!I38)</f>
        <v>0.9</v>
      </c>
      <c r="J37" s="2">
        <f>IF(J12="Yes",Calculations!J84,Calculations!J38)</f>
        <v>0.9</v>
      </c>
      <c r="K37" s="2">
        <f>IF(K12="Yes",Calculations!K84,Calculations!K38)</f>
        <v>0.9</v>
      </c>
      <c r="L37" s="2">
        <f>IF(L12="Yes",Calculations!L84,Calculations!L38)</f>
        <v>0.9</v>
      </c>
      <c r="M37" s="2">
        <f>IF(M12="Yes",Calculations!M84,Calculations!M38)</f>
        <v>0.9</v>
      </c>
    </row>
    <row r="39" spans="1:13" x14ac:dyDescent="0.3">
      <c r="A39" s="34" t="s">
        <v>118</v>
      </c>
      <c r="C39" s="4" t="str">
        <f t="shared" ref="C39:M39" si="4">C$10</f>
        <v>$5M</v>
      </c>
      <c r="D39" s="4" t="str">
        <f t="shared" si="4"/>
        <v>$6M</v>
      </c>
      <c r="E39" s="4" t="str">
        <f t="shared" si="4"/>
        <v>$7M</v>
      </c>
      <c r="F39" s="4" t="str">
        <f t="shared" si="4"/>
        <v>$8M</v>
      </c>
      <c r="G39" s="4" t="str">
        <f t="shared" si="4"/>
        <v>$9M</v>
      </c>
      <c r="H39" s="4" t="str">
        <f t="shared" si="4"/>
        <v>$10M</v>
      </c>
      <c r="I39" s="4" t="str">
        <f t="shared" si="4"/>
        <v>$11M</v>
      </c>
      <c r="J39" s="4" t="str">
        <f t="shared" si="4"/>
        <v>$12M</v>
      </c>
      <c r="K39" s="4" t="str">
        <f t="shared" si="4"/>
        <v>$13M</v>
      </c>
      <c r="L39" s="4" t="str">
        <f t="shared" si="4"/>
        <v>$14M</v>
      </c>
      <c r="M39" s="4" t="str">
        <f t="shared" si="4"/>
        <v>$15M</v>
      </c>
    </row>
    <row r="40" spans="1:13" x14ac:dyDescent="0.3">
      <c r="B40" t="s">
        <v>101</v>
      </c>
      <c r="C40" s="3">
        <f>Calculations!C4</f>
        <v>2</v>
      </c>
      <c r="D40" s="3">
        <f>Calculations!D4</f>
        <v>2</v>
      </c>
      <c r="E40" s="3">
        <f>Calculations!E4</f>
        <v>2</v>
      </c>
      <c r="F40" s="3">
        <f>Calculations!F4</f>
        <v>2</v>
      </c>
      <c r="G40" s="3">
        <f>Calculations!G4</f>
        <v>2</v>
      </c>
      <c r="H40" s="3">
        <f>Calculations!H4</f>
        <v>2</v>
      </c>
      <c r="I40" s="3">
        <f>Calculations!I4</f>
        <v>2</v>
      </c>
      <c r="J40" s="3">
        <f>Calculations!J4</f>
        <v>2</v>
      </c>
      <c r="K40" s="3">
        <f>Calculations!K4</f>
        <v>2</v>
      </c>
      <c r="L40" s="3">
        <f>Calculations!L4</f>
        <v>2</v>
      </c>
      <c r="M40" s="3">
        <f>Calculations!M4</f>
        <v>2</v>
      </c>
    </row>
    <row r="41" spans="1:13" x14ac:dyDescent="0.3">
      <c r="B41" t="s">
        <v>4</v>
      </c>
      <c r="C41" s="56">
        <f>Calculations!C24</f>
        <v>0.56666666666666665</v>
      </c>
      <c r="D41" s="56">
        <f>Calculations!D24</f>
        <v>0.79999999999999993</v>
      </c>
      <c r="E41" s="56">
        <f>Calculations!E24</f>
        <v>1.0333333333333332</v>
      </c>
      <c r="F41" s="56">
        <f>Calculations!F24</f>
        <v>1.2666666666666664</v>
      </c>
      <c r="G41" s="56">
        <f>Calculations!G24</f>
        <v>1.4999999999999998</v>
      </c>
      <c r="H41" s="56">
        <f>Calculations!H24</f>
        <v>1.7333333333333334</v>
      </c>
      <c r="I41" s="56">
        <f>Calculations!I24</f>
        <v>1.9666666666666668</v>
      </c>
      <c r="J41" s="56">
        <f>Calculations!J24</f>
        <v>2.2000000000000002</v>
      </c>
      <c r="K41" s="56">
        <f>Calculations!K24</f>
        <v>2.4333333333333331</v>
      </c>
      <c r="L41" s="56">
        <f>Calculations!L24</f>
        <v>2.6666666666666665</v>
      </c>
      <c r="M41" s="56">
        <f>Calculations!M24</f>
        <v>2.9</v>
      </c>
    </row>
    <row r="42" spans="1:13" x14ac:dyDescent="0.3">
      <c r="B42" t="s">
        <v>31</v>
      </c>
      <c r="C42" s="56">
        <f>IF(C11="Yes",Calculations!C44,Calculations!C24)</f>
        <v>0.56666666666666665</v>
      </c>
      <c r="D42" s="56">
        <f>IF(D11="Yes",Calculations!D44,Calculations!D24)</f>
        <v>0.79999999999999993</v>
      </c>
      <c r="E42" s="56">
        <f>IF(E11="Yes",Calculations!E44,Calculations!E24)</f>
        <v>1.0333333333333332</v>
      </c>
      <c r="F42" s="56">
        <f>IF(F11="Yes",Calculations!F44,Calculations!F24)</f>
        <v>1.2666666666666664</v>
      </c>
      <c r="G42" s="56">
        <f>IF(G11="Yes",Calculations!G44,Calculations!G24)</f>
        <v>1.3333333333333333</v>
      </c>
      <c r="H42" s="56">
        <f>IF(H11="Yes",Calculations!H44,Calculations!H24)</f>
        <v>1.3333333333333333</v>
      </c>
      <c r="I42" s="56">
        <f>IF(I11="Yes",Calculations!I44,Calculations!I24)</f>
        <v>1.3333333333333333</v>
      </c>
      <c r="J42" s="56">
        <f>IF(J11="Yes",Calculations!J44,Calculations!J24)</f>
        <v>1.3333333333333333</v>
      </c>
      <c r="K42" s="56">
        <f>IF(K11="Yes",Calculations!K44,Calculations!K24)</f>
        <v>1.3333333333333333</v>
      </c>
      <c r="L42" s="56">
        <f>IF(L11="Yes",Calculations!L44,Calculations!L24)</f>
        <v>1.3333333333333333</v>
      </c>
      <c r="M42" s="56">
        <f>IF(M11="Yes",Calculations!M44,Calculations!M24)</f>
        <v>1.3333333333333333</v>
      </c>
    </row>
    <row r="43" spans="1:13" x14ac:dyDescent="0.3">
      <c r="B43" t="s">
        <v>32</v>
      </c>
      <c r="C43" s="56">
        <f>IF(C12="Yes",Calculations!C67,Calculations!C24)</f>
        <v>0.56666666666666665</v>
      </c>
      <c r="D43" s="56">
        <f>IF(D12="Yes",Calculations!D67,Calculations!D24)</f>
        <v>0.79999999999999993</v>
      </c>
      <c r="E43" s="56">
        <f>IF(E12="Yes",Calculations!E67,Calculations!E24)</f>
        <v>1.0333333333333332</v>
      </c>
      <c r="F43" s="56">
        <f>IF(F12="Yes",Calculations!F67,Calculations!F24)</f>
        <v>1.2000000000000002</v>
      </c>
      <c r="G43" s="56">
        <f>IF(G12="Yes",Calculations!G67,Calculations!G24)</f>
        <v>1.2000000000000002</v>
      </c>
      <c r="H43" s="56">
        <f>IF(H12="Yes",Calculations!H67,Calculations!H24)</f>
        <v>1.2000000000000002</v>
      </c>
      <c r="I43" s="56">
        <f>IF(I12="Yes",Calculations!I67,Calculations!I24)</f>
        <v>1.2000000000000002</v>
      </c>
      <c r="J43" s="56">
        <f>IF(J12="Yes",Calculations!J67,Calculations!J24)</f>
        <v>1.2000000000000002</v>
      </c>
      <c r="K43" s="56">
        <f>IF(K12="Yes",Calculations!K67,Calculations!K24)</f>
        <v>1.2000000000000002</v>
      </c>
      <c r="L43" s="56">
        <f>IF(L12="Yes",Calculations!L67,Calculations!L24)</f>
        <v>1.2000000000000002</v>
      </c>
      <c r="M43" s="56">
        <f>IF(M12="Yes",Calculations!M67,Calculations!M24)</f>
        <v>1.2000000000000002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F5A6E-B6AF-4A31-BBC4-B46B9E9EA88A}">
  <dimension ref="A1:N109"/>
  <sheetViews>
    <sheetView topLeftCell="A65" zoomScaleNormal="100" workbookViewId="0">
      <selection activeCell="A80" sqref="A80"/>
    </sheetView>
  </sheetViews>
  <sheetFormatPr defaultRowHeight="14.4" x14ac:dyDescent="0.3"/>
  <cols>
    <col min="1" max="1" width="42.33203125" bestFit="1" customWidth="1"/>
    <col min="2" max="2" width="16.88671875" bestFit="1" customWidth="1"/>
    <col min="3" max="7" width="10.109375" bestFit="1" customWidth="1"/>
    <col min="8" max="13" width="11.109375" bestFit="1" customWidth="1"/>
  </cols>
  <sheetData>
    <row r="1" spans="1:14" x14ac:dyDescent="0.3">
      <c r="A1" s="60" t="s">
        <v>16</v>
      </c>
      <c r="B1" s="60" t="s">
        <v>99</v>
      </c>
      <c r="C1" s="60"/>
      <c r="D1" s="60"/>
      <c r="E1" s="60"/>
      <c r="F1" s="60"/>
      <c r="G1" s="60"/>
      <c r="H1" s="60"/>
      <c r="I1" s="60"/>
      <c r="J1" s="60"/>
      <c r="K1" s="60"/>
      <c r="L1" s="60"/>
      <c r="M1" s="60"/>
    </row>
    <row r="2" spans="1:14" ht="15.6" x14ac:dyDescent="0.35">
      <c r="A2" t="s">
        <v>6</v>
      </c>
      <c r="B2" t="s">
        <v>60</v>
      </c>
      <c r="C2" s="12">
        <f>'Comparison of SAFEs'!$C$3</f>
        <v>400000</v>
      </c>
      <c r="D2" s="12">
        <f>'Comparison of SAFEs'!$C$3</f>
        <v>400000</v>
      </c>
      <c r="E2" s="12">
        <f>'Comparison of SAFEs'!$C$3</f>
        <v>400000</v>
      </c>
      <c r="F2" s="12">
        <f>'Comparison of SAFEs'!$C$3</f>
        <v>400000</v>
      </c>
      <c r="G2" s="12">
        <f>'Comparison of SAFEs'!$C$3</f>
        <v>400000</v>
      </c>
      <c r="H2" s="12">
        <f>'Comparison of SAFEs'!$C$3</f>
        <v>400000</v>
      </c>
      <c r="I2" s="12">
        <f>'Comparison of SAFEs'!$C$3</f>
        <v>400000</v>
      </c>
      <c r="J2" s="12">
        <f>'Comparison of SAFEs'!$C$3</f>
        <v>400000</v>
      </c>
      <c r="K2" s="12">
        <f>'Comparison of SAFEs'!$C$3</f>
        <v>400000</v>
      </c>
      <c r="L2" s="12">
        <f>'Comparison of SAFEs'!$C$3</f>
        <v>400000</v>
      </c>
      <c r="M2" s="12">
        <f>'Comparison of SAFEs'!$C$3</f>
        <v>400000</v>
      </c>
    </row>
    <row r="3" spans="1:14" ht="15.6" x14ac:dyDescent="0.35">
      <c r="A3" s="5" t="s">
        <v>33</v>
      </c>
      <c r="B3" s="5" t="s">
        <v>61</v>
      </c>
      <c r="C3" s="11">
        <f>'Comparison of SAFEs'!$C$4</f>
        <v>2000000</v>
      </c>
      <c r="D3" s="11">
        <f>'Comparison of SAFEs'!$C$4</f>
        <v>2000000</v>
      </c>
      <c r="E3" s="11">
        <f>'Comparison of SAFEs'!$C$4</f>
        <v>2000000</v>
      </c>
      <c r="F3" s="11">
        <f>'Comparison of SAFEs'!$C$4</f>
        <v>2000000</v>
      </c>
      <c r="G3" s="11">
        <f>'Comparison of SAFEs'!$C$4</f>
        <v>2000000</v>
      </c>
      <c r="H3" s="11">
        <f>'Comparison of SAFEs'!$C$4</f>
        <v>2000000</v>
      </c>
      <c r="I3" s="11">
        <f>'Comparison of SAFEs'!$C$4</f>
        <v>2000000</v>
      </c>
      <c r="J3" s="11">
        <f>'Comparison of SAFEs'!$C$4</f>
        <v>2000000</v>
      </c>
      <c r="K3" s="11">
        <f>'Comparison of SAFEs'!$C$4</f>
        <v>2000000</v>
      </c>
      <c r="L3" s="11">
        <f>'Comparison of SAFEs'!$C$4</f>
        <v>2000000</v>
      </c>
      <c r="M3" s="11">
        <f>'Comparison of SAFEs'!$C$4</f>
        <v>2000000</v>
      </c>
    </row>
    <row r="4" spans="1:14" ht="15.6" x14ac:dyDescent="0.35">
      <c r="A4" s="3" t="s">
        <v>34</v>
      </c>
      <c r="B4" s="3" t="s">
        <v>62</v>
      </c>
      <c r="C4" s="31">
        <f>'Comparison of SAFEs'!$C$5</f>
        <v>2</v>
      </c>
      <c r="D4" s="31">
        <f>'Comparison of SAFEs'!$C$5</f>
        <v>2</v>
      </c>
      <c r="E4" s="31">
        <f>'Comparison of SAFEs'!$C$5</f>
        <v>2</v>
      </c>
      <c r="F4" s="31">
        <f>'Comparison of SAFEs'!$C$5</f>
        <v>2</v>
      </c>
      <c r="G4" s="31">
        <f>'Comparison of SAFEs'!$C$5</f>
        <v>2</v>
      </c>
      <c r="H4" s="31">
        <f>'Comparison of SAFEs'!$C$5</f>
        <v>2</v>
      </c>
      <c r="I4" s="31">
        <f>'Comparison of SAFEs'!$C$5</f>
        <v>2</v>
      </c>
      <c r="J4" s="31">
        <f>'Comparison of SAFEs'!$C$5</f>
        <v>2</v>
      </c>
      <c r="K4" s="31">
        <f>'Comparison of SAFEs'!$C$5</f>
        <v>2</v>
      </c>
      <c r="L4" s="31">
        <f>'Comparison of SAFEs'!$C$5</f>
        <v>2</v>
      </c>
      <c r="M4" s="31">
        <f>'Comparison of SAFEs'!$C$5</f>
        <v>2</v>
      </c>
      <c r="N4" s="3"/>
    </row>
    <row r="5" spans="1:14" ht="15.6" x14ac:dyDescent="0.35">
      <c r="A5" s="9" t="s">
        <v>35</v>
      </c>
      <c r="B5" s="9" t="s">
        <v>63</v>
      </c>
      <c r="C5" s="9">
        <f t="shared" ref="C5:M5" si="0">C7/C12</f>
        <v>0.9375</v>
      </c>
      <c r="D5" s="9">
        <f t="shared" si="0"/>
        <v>1.25</v>
      </c>
      <c r="E5" s="9">
        <f t="shared" ref="E5" si="1">E7/E12</f>
        <v>1.5625</v>
      </c>
      <c r="F5" s="9">
        <f t="shared" ref="F5" si="2">F7/F12</f>
        <v>1.875</v>
      </c>
      <c r="G5" s="9">
        <f t="shared" ref="G5" si="3">G7/G12</f>
        <v>2.1875</v>
      </c>
      <c r="H5" s="9">
        <f t="shared" ref="H5" si="4">H7/H12</f>
        <v>2.5</v>
      </c>
      <c r="I5" s="9">
        <f t="shared" si="0"/>
        <v>2.8125</v>
      </c>
      <c r="J5" s="9">
        <f t="shared" si="0"/>
        <v>3.125</v>
      </c>
      <c r="K5" s="9">
        <f t="shared" si="0"/>
        <v>3.4375</v>
      </c>
      <c r="L5" s="9">
        <f t="shared" si="0"/>
        <v>3.75</v>
      </c>
      <c r="M5" s="9">
        <f t="shared" si="0"/>
        <v>4.0625</v>
      </c>
      <c r="N5" s="3"/>
    </row>
    <row r="6" spans="1:14" ht="15.6" x14ac:dyDescent="0.35">
      <c r="A6" s="4" t="s">
        <v>49</v>
      </c>
      <c r="B6" s="4" t="s">
        <v>67</v>
      </c>
      <c r="C6" s="12">
        <f>'Comparison of SAFEs'!C9</f>
        <v>5000000</v>
      </c>
      <c r="D6" s="12">
        <f>'Comparison of SAFEs'!D9</f>
        <v>6000000</v>
      </c>
      <c r="E6" s="12">
        <f>'Comparison of SAFEs'!E9</f>
        <v>7000000</v>
      </c>
      <c r="F6" s="12">
        <f>'Comparison of SAFEs'!F9</f>
        <v>8000000</v>
      </c>
      <c r="G6" s="12">
        <f>'Comparison of SAFEs'!G9</f>
        <v>9000000</v>
      </c>
      <c r="H6" s="12">
        <f>'Comparison of SAFEs'!H9</f>
        <v>10000000</v>
      </c>
      <c r="I6" s="12">
        <f>'Comparison of SAFEs'!I9</f>
        <v>11000000</v>
      </c>
      <c r="J6" s="12">
        <f>'Comparison of SAFEs'!J9</f>
        <v>12000000</v>
      </c>
      <c r="K6" s="12">
        <f>'Comparison of SAFEs'!K9</f>
        <v>13000000</v>
      </c>
      <c r="L6" s="12">
        <f>'Comparison of SAFEs'!L9</f>
        <v>14000000</v>
      </c>
      <c r="M6" s="12">
        <f>'Comparison of SAFEs'!M9</f>
        <v>15000000</v>
      </c>
      <c r="N6" s="4"/>
    </row>
    <row r="7" spans="1:14" ht="16.8" x14ac:dyDescent="0.35">
      <c r="A7" s="4" t="s">
        <v>37</v>
      </c>
      <c r="B7" s="4" t="s">
        <v>68</v>
      </c>
      <c r="C7" s="4">
        <f t="shared" ref="C7:M7" si="5">C6-C3</f>
        <v>3000000</v>
      </c>
      <c r="D7" s="4">
        <f t="shared" si="5"/>
        <v>4000000</v>
      </c>
      <c r="E7" s="4">
        <f t="shared" si="5"/>
        <v>5000000</v>
      </c>
      <c r="F7" s="4">
        <f t="shared" si="5"/>
        <v>6000000</v>
      </c>
      <c r="G7" s="4">
        <f t="shared" si="5"/>
        <v>7000000</v>
      </c>
      <c r="H7" s="4">
        <f t="shared" si="5"/>
        <v>8000000</v>
      </c>
      <c r="I7" s="4">
        <f t="shared" si="5"/>
        <v>9000000</v>
      </c>
      <c r="J7" s="4">
        <f t="shared" si="5"/>
        <v>10000000</v>
      </c>
      <c r="K7" s="4">
        <f t="shared" si="5"/>
        <v>11000000</v>
      </c>
      <c r="L7" s="4">
        <f t="shared" si="5"/>
        <v>12000000</v>
      </c>
      <c r="M7" s="4">
        <f t="shared" si="5"/>
        <v>13000000</v>
      </c>
      <c r="N7" s="4"/>
    </row>
    <row r="8" spans="1:14" ht="16.8" x14ac:dyDescent="0.35">
      <c r="A8" s="8" t="s">
        <v>38</v>
      </c>
      <c r="B8" s="8" t="s">
        <v>69</v>
      </c>
      <c r="C8" s="8">
        <f t="shared" ref="C8:M8" si="6">C5*C9</f>
        <v>2812500</v>
      </c>
      <c r="D8" s="8">
        <f t="shared" si="6"/>
        <v>3750000</v>
      </c>
      <c r="E8" s="8">
        <f t="shared" si="6"/>
        <v>4687500</v>
      </c>
      <c r="F8" s="8">
        <f t="shared" si="6"/>
        <v>5625000</v>
      </c>
      <c r="G8" s="8">
        <f t="shared" si="6"/>
        <v>6562500</v>
      </c>
      <c r="H8" s="8">
        <f t="shared" si="6"/>
        <v>7500000</v>
      </c>
      <c r="I8" s="8">
        <f t="shared" si="6"/>
        <v>8437500</v>
      </c>
      <c r="J8" s="8">
        <f t="shared" si="6"/>
        <v>9375000</v>
      </c>
      <c r="K8" s="8">
        <f t="shared" si="6"/>
        <v>10312500</v>
      </c>
      <c r="L8" s="8">
        <f t="shared" si="6"/>
        <v>11250000</v>
      </c>
      <c r="M8" s="8">
        <f t="shared" si="6"/>
        <v>12187500</v>
      </c>
      <c r="N8" s="4"/>
    </row>
    <row r="9" spans="1:14" ht="15.6" x14ac:dyDescent="0.35">
      <c r="A9" t="s">
        <v>39</v>
      </c>
      <c r="B9" t="s">
        <v>50</v>
      </c>
      <c r="C9" s="10">
        <f>'Comparison of SAFEs'!$C$2</f>
        <v>3000000</v>
      </c>
      <c r="D9" s="10">
        <f>'Comparison of SAFEs'!$C$2</f>
        <v>3000000</v>
      </c>
      <c r="E9" s="10">
        <f>'Comparison of SAFEs'!$C$2</f>
        <v>3000000</v>
      </c>
      <c r="F9" s="10">
        <f>'Comparison of SAFEs'!$C$2</f>
        <v>3000000</v>
      </c>
      <c r="G9" s="10">
        <f>'Comparison of SAFEs'!$C$2</f>
        <v>3000000</v>
      </c>
      <c r="H9" s="10">
        <f>'Comparison of SAFEs'!$C$2</f>
        <v>3000000</v>
      </c>
      <c r="I9" s="10">
        <f>'Comparison of SAFEs'!$C$2</f>
        <v>3000000</v>
      </c>
      <c r="J9" s="10">
        <f>'Comparison of SAFEs'!$C$2</f>
        <v>3000000</v>
      </c>
      <c r="K9" s="10">
        <f>'Comparison of SAFEs'!$C$2</f>
        <v>3000000</v>
      </c>
      <c r="L9" s="10">
        <f>'Comparison of SAFEs'!$C$2</f>
        <v>3000000</v>
      </c>
      <c r="M9" s="10">
        <f>'Comparison of SAFEs'!$C$2</f>
        <v>3000000</v>
      </c>
    </row>
    <row r="10" spans="1:14" ht="15.6" x14ac:dyDescent="0.35">
      <c r="A10" t="s">
        <v>45</v>
      </c>
      <c r="B10" t="s">
        <v>51</v>
      </c>
      <c r="C10" s="1">
        <f t="shared" ref="C10:M11" si="7">C2/C4</f>
        <v>200000</v>
      </c>
      <c r="D10" s="1">
        <f t="shared" si="7"/>
        <v>200000</v>
      </c>
      <c r="E10" s="1">
        <f t="shared" ref="E10" si="8">E2/E4</f>
        <v>200000</v>
      </c>
      <c r="F10" s="1">
        <f t="shared" ref="F10" si="9">F2/F4</f>
        <v>200000</v>
      </c>
      <c r="G10" s="1">
        <f t="shared" ref="G10" si="10">G2/G4</f>
        <v>200000</v>
      </c>
      <c r="H10" s="1">
        <f t="shared" ref="H10" si="11">H2/H4</f>
        <v>200000</v>
      </c>
      <c r="I10" s="1">
        <f t="shared" si="7"/>
        <v>200000</v>
      </c>
      <c r="J10" s="1">
        <f t="shared" si="7"/>
        <v>200000</v>
      </c>
      <c r="K10" s="1">
        <f t="shared" si="7"/>
        <v>200000</v>
      </c>
      <c r="L10" s="1">
        <f t="shared" si="7"/>
        <v>200000</v>
      </c>
      <c r="M10" s="1">
        <f t="shared" si="7"/>
        <v>200000</v>
      </c>
    </row>
    <row r="11" spans="1:14" ht="15.6" x14ac:dyDescent="0.35">
      <c r="A11" s="5" t="s">
        <v>40</v>
      </c>
      <c r="B11" s="5" t="s">
        <v>52</v>
      </c>
      <c r="C11" s="6">
        <f t="shared" si="7"/>
        <v>2133333.3333333335</v>
      </c>
      <c r="D11" s="6">
        <f t="shared" si="7"/>
        <v>1600000</v>
      </c>
      <c r="E11" s="6">
        <f t="shared" ref="E11" si="12">E3/E5</f>
        <v>1280000</v>
      </c>
      <c r="F11" s="6">
        <f t="shared" ref="F11" si="13">F3/F5</f>
        <v>1066666.6666666667</v>
      </c>
      <c r="G11" s="6">
        <f t="shared" ref="G11" si="14">G3/G5</f>
        <v>914285.71428571432</v>
      </c>
      <c r="H11" s="6">
        <f t="shared" ref="H11" si="15">H3/H5</f>
        <v>800000</v>
      </c>
      <c r="I11" s="6">
        <f t="shared" si="7"/>
        <v>711111.11111111112</v>
      </c>
      <c r="J11" s="6">
        <f t="shared" si="7"/>
        <v>640000</v>
      </c>
      <c r="K11" s="6">
        <f t="shared" si="7"/>
        <v>581818.18181818177</v>
      </c>
      <c r="L11" s="6">
        <f t="shared" si="7"/>
        <v>533333.33333333337</v>
      </c>
      <c r="M11" s="6">
        <f t="shared" si="7"/>
        <v>492307.69230769231</v>
      </c>
    </row>
    <row r="12" spans="1:14" ht="15.6" x14ac:dyDescent="0.35">
      <c r="A12" t="s">
        <v>41</v>
      </c>
      <c r="B12" t="s">
        <v>53</v>
      </c>
      <c r="C12" s="1">
        <f t="shared" ref="C12:M12" si="16">C9+C10</f>
        <v>3200000</v>
      </c>
      <c r="D12" s="1">
        <f t="shared" si="16"/>
        <v>3200000</v>
      </c>
      <c r="E12" s="1">
        <f t="shared" ref="E12" si="17">E9+E10</f>
        <v>3200000</v>
      </c>
      <c r="F12" s="1">
        <f t="shared" ref="F12" si="18">F9+F10</f>
        <v>3200000</v>
      </c>
      <c r="G12" s="1">
        <f t="shared" ref="G12" si="19">G9+G10</f>
        <v>3200000</v>
      </c>
      <c r="H12" s="1">
        <f t="shared" ref="H12" si="20">H9+H10</f>
        <v>3200000</v>
      </c>
      <c r="I12" s="1">
        <f t="shared" si="16"/>
        <v>3200000</v>
      </c>
      <c r="J12" s="1">
        <f t="shared" si="16"/>
        <v>3200000</v>
      </c>
      <c r="K12" s="1">
        <f t="shared" si="16"/>
        <v>3200000</v>
      </c>
      <c r="L12" s="1">
        <f t="shared" si="16"/>
        <v>3200000</v>
      </c>
      <c r="M12" s="1">
        <f t="shared" si="16"/>
        <v>3200000</v>
      </c>
    </row>
    <row r="13" spans="1:14" ht="15.6" x14ac:dyDescent="0.35">
      <c r="A13" s="5" t="s">
        <v>42</v>
      </c>
      <c r="B13" s="5" t="s">
        <v>54</v>
      </c>
      <c r="C13" s="6">
        <f t="shared" ref="C13:M13" si="21">C12+C11</f>
        <v>5333333.333333334</v>
      </c>
      <c r="D13" s="6">
        <f t="shared" si="21"/>
        <v>4800000</v>
      </c>
      <c r="E13" s="6">
        <f t="shared" ref="E13" si="22">E12+E11</f>
        <v>4480000</v>
      </c>
      <c r="F13" s="6">
        <f t="shared" ref="F13" si="23">F12+F11</f>
        <v>4266666.666666667</v>
      </c>
      <c r="G13" s="6">
        <f t="shared" ref="G13" si="24">G12+G11</f>
        <v>4114285.7142857146</v>
      </c>
      <c r="H13" s="6">
        <f t="shared" ref="H13" si="25">H12+H11</f>
        <v>4000000</v>
      </c>
      <c r="I13" s="6">
        <f t="shared" si="21"/>
        <v>3911111.111111111</v>
      </c>
      <c r="J13" s="6">
        <f t="shared" si="21"/>
        <v>3840000</v>
      </c>
      <c r="K13" s="6">
        <f t="shared" si="21"/>
        <v>3781818.1818181816</v>
      </c>
      <c r="L13" s="6">
        <f t="shared" si="21"/>
        <v>3733333.3333333335</v>
      </c>
      <c r="M13" s="6">
        <f t="shared" si="21"/>
        <v>3692307.6923076925</v>
      </c>
    </row>
    <row r="14" spans="1:14" ht="15.6" x14ac:dyDescent="0.35">
      <c r="A14" t="s">
        <v>119</v>
      </c>
      <c r="B14" t="s">
        <v>55</v>
      </c>
      <c r="C14" s="2">
        <f t="shared" ref="C14:E14" si="26">C9/C$13</f>
        <v>0.56249999999999989</v>
      </c>
      <c r="D14" s="2">
        <f t="shared" si="26"/>
        <v>0.625</v>
      </c>
      <c r="E14" s="2">
        <f t="shared" si="26"/>
        <v>0.6696428571428571</v>
      </c>
      <c r="F14" s="2">
        <f t="shared" ref="F14" si="27">F9/F$13</f>
        <v>0.703125</v>
      </c>
      <c r="G14" s="2">
        <f t="shared" ref="G14" si="28">G9/G$13</f>
        <v>0.72916666666666663</v>
      </c>
      <c r="H14" s="2">
        <f t="shared" ref="H14" si="29">H9/H$13</f>
        <v>0.75</v>
      </c>
      <c r="I14" s="2">
        <f t="shared" ref="I14:M16" si="30">I9/I$13</f>
        <v>0.76704545454545459</v>
      </c>
      <c r="J14" s="2">
        <f t="shared" si="30"/>
        <v>0.78125</v>
      </c>
      <c r="K14" s="2">
        <f t="shared" si="30"/>
        <v>0.79326923076923084</v>
      </c>
      <c r="L14" s="2">
        <f t="shared" si="30"/>
        <v>0.80357142857142849</v>
      </c>
      <c r="M14" s="2">
        <f t="shared" si="30"/>
        <v>0.8125</v>
      </c>
    </row>
    <row r="15" spans="1:14" ht="15.6" x14ac:dyDescent="0.35">
      <c r="A15" t="s">
        <v>120</v>
      </c>
      <c r="B15" t="s">
        <v>56</v>
      </c>
      <c r="C15" s="2">
        <f t="shared" ref="C15:E15" si="31">C10/C$13</f>
        <v>3.7499999999999999E-2</v>
      </c>
      <c r="D15" s="2">
        <f t="shared" si="31"/>
        <v>4.1666666666666664E-2</v>
      </c>
      <c r="E15" s="2">
        <f t="shared" si="31"/>
        <v>4.4642857142857144E-2</v>
      </c>
      <c r="F15" s="2">
        <f t="shared" ref="F15" si="32">F10/F$13</f>
        <v>4.6875E-2</v>
      </c>
      <c r="G15" s="2">
        <f t="shared" ref="G15" si="33">G10/G$13</f>
        <v>4.8611111111111105E-2</v>
      </c>
      <c r="H15" s="2">
        <f t="shared" ref="H15" si="34">H10/H$13</f>
        <v>0.05</v>
      </c>
      <c r="I15" s="2">
        <f t="shared" si="30"/>
        <v>5.113636363636364E-2</v>
      </c>
      <c r="J15" s="2">
        <f t="shared" si="30"/>
        <v>5.2083333333333336E-2</v>
      </c>
      <c r="K15" s="2">
        <f t="shared" si="30"/>
        <v>5.2884615384615384E-2</v>
      </c>
      <c r="L15" s="2">
        <f t="shared" si="30"/>
        <v>5.3571428571428568E-2</v>
      </c>
      <c r="M15" s="2">
        <f t="shared" si="30"/>
        <v>5.4166666666666662E-2</v>
      </c>
    </row>
    <row r="16" spans="1:14" ht="15.6" x14ac:dyDescent="0.35">
      <c r="A16" s="5" t="s">
        <v>121</v>
      </c>
      <c r="B16" s="5" t="s">
        <v>57</v>
      </c>
      <c r="C16" s="7">
        <f t="shared" ref="C16:E16" si="35">C11/C$13</f>
        <v>0.39999999999999997</v>
      </c>
      <c r="D16" s="7">
        <f t="shared" si="35"/>
        <v>0.33333333333333331</v>
      </c>
      <c r="E16" s="7">
        <f t="shared" si="35"/>
        <v>0.2857142857142857</v>
      </c>
      <c r="F16" s="7">
        <f t="shared" ref="F16" si="36">F11/F$13</f>
        <v>0.25</v>
      </c>
      <c r="G16" s="7">
        <f t="shared" ref="G16" si="37">G11/G$13</f>
        <v>0.22222222222222221</v>
      </c>
      <c r="H16" s="7">
        <f t="shared" ref="H16" si="38">H11/H$13</f>
        <v>0.2</v>
      </c>
      <c r="I16" s="7">
        <f t="shared" si="30"/>
        <v>0.18181818181818182</v>
      </c>
      <c r="J16" s="7">
        <f t="shared" si="30"/>
        <v>0.16666666666666666</v>
      </c>
      <c r="K16" s="7">
        <f t="shared" si="30"/>
        <v>0.15384615384615383</v>
      </c>
      <c r="L16" s="7">
        <f t="shared" si="30"/>
        <v>0.14285714285714285</v>
      </c>
      <c r="M16" s="7">
        <f t="shared" si="30"/>
        <v>0.13333333333333333</v>
      </c>
    </row>
    <row r="17" spans="1:13" ht="15.6" x14ac:dyDescent="0.35">
      <c r="A17" t="s">
        <v>122</v>
      </c>
      <c r="B17" t="s">
        <v>58</v>
      </c>
      <c r="C17" s="2">
        <f t="shared" ref="C17:M17" si="39">C9/C12</f>
        <v>0.9375</v>
      </c>
      <c r="D17" s="2">
        <f t="shared" si="39"/>
        <v>0.9375</v>
      </c>
      <c r="E17" s="2">
        <f t="shared" ref="E17" si="40">E9/E12</f>
        <v>0.9375</v>
      </c>
      <c r="F17" s="2">
        <f t="shared" ref="F17" si="41">F9/F12</f>
        <v>0.9375</v>
      </c>
      <c r="G17" s="2">
        <f t="shared" ref="G17" si="42">G9/G12</f>
        <v>0.9375</v>
      </c>
      <c r="H17" s="2">
        <f t="shared" ref="H17" si="43">H9/H12</f>
        <v>0.9375</v>
      </c>
      <c r="I17" s="2">
        <f t="shared" si="39"/>
        <v>0.9375</v>
      </c>
      <c r="J17" s="2">
        <f t="shared" si="39"/>
        <v>0.9375</v>
      </c>
      <c r="K17" s="2">
        <f t="shared" si="39"/>
        <v>0.9375</v>
      </c>
      <c r="L17" s="2">
        <f t="shared" si="39"/>
        <v>0.9375</v>
      </c>
      <c r="M17" s="2">
        <f t="shared" si="39"/>
        <v>0.9375</v>
      </c>
    </row>
    <row r="18" spans="1:13" ht="15.6" x14ac:dyDescent="0.35">
      <c r="A18" s="5" t="s">
        <v>123</v>
      </c>
      <c r="B18" s="5" t="s">
        <v>59</v>
      </c>
      <c r="C18" s="7">
        <f t="shared" ref="C18:M18" si="44">C10/C12</f>
        <v>6.25E-2</v>
      </c>
      <c r="D18" s="7">
        <f t="shared" si="44"/>
        <v>6.25E-2</v>
      </c>
      <c r="E18" s="7">
        <f t="shared" ref="E18" si="45">E10/E12</f>
        <v>6.25E-2</v>
      </c>
      <c r="F18" s="7">
        <f t="shared" ref="F18" si="46">F10/F12</f>
        <v>6.25E-2</v>
      </c>
      <c r="G18" s="7">
        <f t="shared" ref="G18" si="47">G10/G12</f>
        <v>6.25E-2</v>
      </c>
      <c r="H18" s="7">
        <f t="shared" ref="H18" si="48">H10/H12</f>
        <v>6.25E-2</v>
      </c>
      <c r="I18" s="7">
        <f t="shared" si="44"/>
        <v>6.25E-2</v>
      </c>
      <c r="J18" s="7">
        <f t="shared" si="44"/>
        <v>6.25E-2</v>
      </c>
      <c r="K18" s="7">
        <f t="shared" si="44"/>
        <v>6.25E-2</v>
      </c>
      <c r="L18" s="7">
        <f t="shared" si="44"/>
        <v>6.25E-2</v>
      </c>
      <c r="M18" s="7">
        <f t="shared" si="44"/>
        <v>6.25E-2</v>
      </c>
    </row>
    <row r="19" spans="1:13" x14ac:dyDescent="0.3">
      <c r="A19" s="58" t="s">
        <v>129</v>
      </c>
      <c r="B19" s="22"/>
      <c r="C19" s="59">
        <f>C4*(C9+C10)</f>
        <v>6400000</v>
      </c>
      <c r="D19" s="59">
        <f t="shared" ref="D19:M19" si="49">D4*(D9+D10)</f>
        <v>6400000</v>
      </c>
      <c r="E19" s="59">
        <f t="shared" si="49"/>
        <v>6400000</v>
      </c>
      <c r="F19" s="59">
        <f t="shared" si="49"/>
        <v>6400000</v>
      </c>
      <c r="G19" s="59">
        <f t="shared" si="49"/>
        <v>6400000</v>
      </c>
      <c r="H19" s="59">
        <f t="shared" si="49"/>
        <v>6400000</v>
      </c>
      <c r="I19" s="59">
        <f t="shared" si="49"/>
        <v>6400000</v>
      </c>
      <c r="J19" s="59">
        <f t="shared" si="49"/>
        <v>6400000</v>
      </c>
      <c r="K19" s="59">
        <f t="shared" si="49"/>
        <v>6400000</v>
      </c>
      <c r="L19" s="59">
        <f t="shared" si="49"/>
        <v>6400000</v>
      </c>
      <c r="M19" s="59">
        <f t="shared" si="49"/>
        <v>6400000</v>
      </c>
    </row>
    <row r="20" spans="1:13" x14ac:dyDescent="0.3">
      <c r="C20" s="22"/>
      <c r="D20" s="22"/>
      <c r="E20" s="22"/>
      <c r="F20" s="22"/>
      <c r="G20" s="22"/>
      <c r="H20" s="22"/>
      <c r="I20" s="22"/>
      <c r="J20" s="22"/>
      <c r="K20" s="22"/>
      <c r="L20" s="22"/>
      <c r="M20" s="22"/>
    </row>
    <row r="21" spans="1:13" x14ac:dyDescent="0.3">
      <c r="A21" s="60" t="s">
        <v>17</v>
      </c>
      <c r="B21" s="60"/>
      <c r="C21" s="60"/>
      <c r="D21" s="60"/>
      <c r="E21" s="60"/>
      <c r="F21" s="60"/>
      <c r="G21" s="60"/>
      <c r="H21" s="60"/>
      <c r="I21" s="60"/>
      <c r="J21" s="60"/>
      <c r="K21" s="60"/>
      <c r="L21" s="60"/>
      <c r="M21" s="60"/>
    </row>
    <row r="22" spans="1:13" ht="15.6" x14ac:dyDescent="0.35">
      <c r="A22" t="s">
        <v>6</v>
      </c>
      <c r="B22" t="s">
        <v>60</v>
      </c>
      <c r="C22" s="12">
        <f>'Comparison of SAFEs'!$C$3</f>
        <v>400000</v>
      </c>
      <c r="D22" s="12">
        <f>'Comparison of SAFEs'!$C$3</f>
        <v>400000</v>
      </c>
      <c r="E22" s="12">
        <f>'Comparison of SAFEs'!$C$3</f>
        <v>400000</v>
      </c>
      <c r="F22" s="12">
        <f>'Comparison of SAFEs'!$C$3</f>
        <v>400000</v>
      </c>
      <c r="G22" s="12">
        <f>'Comparison of SAFEs'!$C$3</f>
        <v>400000</v>
      </c>
      <c r="H22" s="12">
        <f>'Comparison of SAFEs'!$C$3</f>
        <v>400000</v>
      </c>
      <c r="I22" s="12">
        <f>'Comparison of SAFEs'!$C$3</f>
        <v>400000</v>
      </c>
      <c r="J22" s="12">
        <f>'Comparison of SAFEs'!$C$3</f>
        <v>400000</v>
      </c>
      <c r="K22" s="12">
        <f>'Comparison of SAFEs'!$C$3</f>
        <v>400000</v>
      </c>
      <c r="L22" s="12">
        <f>'Comparison of SAFEs'!$C$3</f>
        <v>400000</v>
      </c>
      <c r="M22" s="12">
        <f>'Comparison of SAFEs'!$C$3</f>
        <v>400000</v>
      </c>
    </row>
    <row r="23" spans="1:13" ht="15.6" x14ac:dyDescent="0.35">
      <c r="A23" s="5" t="s">
        <v>33</v>
      </c>
      <c r="B23" s="5" t="s">
        <v>61</v>
      </c>
      <c r="C23" s="11">
        <f>'Comparison of SAFEs'!$C$4</f>
        <v>2000000</v>
      </c>
      <c r="D23" s="11">
        <f>'Comparison of SAFEs'!$C$4</f>
        <v>2000000</v>
      </c>
      <c r="E23" s="11">
        <f>'Comparison of SAFEs'!$C$4</f>
        <v>2000000</v>
      </c>
      <c r="F23" s="11">
        <f>'Comparison of SAFEs'!$C$4</f>
        <v>2000000</v>
      </c>
      <c r="G23" s="11">
        <f>'Comparison of SAFEs'!$C$4</f>
        <v>2000000</v>
      </c>
      <c r="H23" s="11">
        <f>'Comparison of SAFEs'!$C$4</f>
        <v>2000000</v>
      </c>
      <c r="I23" s="11">
        <f>'Comparison of SAFEs'!$C$4</f>
        <v>2000000</v>
      </c>
      <c r="J23" s="11">
        <f>'Comparison of SAFEs'!$C$4</f>
        <v>2000000</v>
      </c>
      <c r="K23" s="11">
        <f>'Comparison of SAFEs'!$C$4</f>
        <v>2000000</v>
      </c>
      <c r="L23" s="11">
        <f>'Comparison of SAFEs'!$C$4</f>
        <v>2000000</v>
      </c>
      <c r="M23" s="11">
        <f>'Comparison of SAFEs'!$C$4</f>
        <v>2000000</v>
      </c>
    </row>
    <row r="24" spans="1:13" ht="15.6" x14ac:dyDescent="0.35">
      <c r="A24" s="3" t="s">
        <v>34</v>
      </c>
      <c r="B24" s="3" t="s">
        <v>62</v>
      </c>
      <c r="C24" s="3">
        <f t="shared" ref="C24" si="50">C25*(1-C26)</f>
        <v>0.56666666666666665</v>
      </c>
      <c r="D24" s="3">
        <f t="shared" ref="D24:E24" si="51">D25*(1-D26)</f>
        <v>0.79999999999999993</v>
      </c>
      <c r="E24" s="3">
        <f t="shared" si="51"/>
        <v>1.0333333333333332</v>
      </c>
      <c r="F24" s="3">
        <f t="shared" ref="F24" si="52">F25*(1-F26)</f>
        <v>1.2666666666666664</v>
      </c>
      <c r="G24" s="3">
        <f t="shared" ref="G24" si="53">G25*(1-G26)</f>
        <v>1.4999999999999998</v>
      </c>
      <c r="H24" s="3">
        <f t="shared" ref="H24:I24" si="54">H25*(1-H26)</f>
        <v>1.7333333333333334</v>
      </c>
      <c r="I24" s="3">
        <f t="shared" si="54"/>
        <v>1.9666666666666668</v>
      </c>
      <c r="J24" s="3">
        <f t="shared" ref="J24" si="55">J25*(1-J26)</f>
        <v>2.2000000000000002</v>
      </c>
      <c r="K24" s="3">
        <f t="shared" ref="K24" si="56">K25*(1-K26)</f>
        <v>2.4333333333333331</v>
      </c>
      <c r="L24" s="3">
        <f t="shared" ref="L24" si="57">L25*(1-L26)</f>
        <v>2.6666666666666665</v>
      </c>
      <c r="M24" s="3">
        <f t="shared" ref="M24" si="58">M25*(1-M26)</f>
        <v>2.9</v>
      </c>
    </row>
    <row r="25" spans="1:13" ht="15.6" x14ac:dyDescent="0.35">
      <c r="A25" s="9" t="s">
        <v>35</v>
      </c>
      <c r="B25" s="9" t="s">
        <v>63</v>
      </c>
      <c r="C25" s="9">
        <f t="shared" ref="C25:M25" si="59">C29/C30</f>
        <v>0.80952380952380953</v>
      </c>
      <c r="D25" s="9">
        <f t="shared" si="59"/>
        <v>1.1428571428571428</v>
      </c>
      <c r="E25" s="9">
        <f t="shared" ref="E25" si="60">E29/E30</f>
        <v>1.4761904761904761</v>
      </c>
      <c r="F25" s="9">
        <f t="shared" ref="F25" si="61">F29/F30</f>
        <v>1.8095238095238093</v>
      </c>
      <c r="G25" s="9">
        <f t="shared" ref="G25" si="62">G29/G30</f>
        <v>2.1428571428571428</v>
      </c>
      <c r="H25" s="9">
        <f t="shared" ref="H25" si="63">H29/H30</f>
        <v>2.4761904761904763</v>
      </c>
      <c r="I25" s="9">
        <f t="shared" si="59"/>
        <v>2.8095238095238098</v>
      </c>
      <c r="J25" s="9">
        <f t="shared" si="59"/>
        <v>3.1428571428571432</v>
      </c>
      <c r="K25" s="9">
        <f t="shared" si="59"/>
        <v>3.4761904761904763</v>
      </c>
      <c r="L25" s="9">
        <f t="shared" si="59"/>
        <v>3.8095238095238098</v>
      </c>
      <c r="M25" s="9">
        <f t="shared" si="59"/>
        <v>4.1428571428571432</v>
      </c>
    </row>
    <row r="26" spans="1:13" ht="15.6" x14ac:dyDescent="0.35">
      <c r="A26" s="22" t="s">
        <v>36</v>
      </c>
      <c r="B26" s="22" t="s">
        <v>64</v>
      </c>
      <c r="C26" s="35">
        <f>'Comparison of SAFEs'!$C$6</f>
        <v>0.3</v>
      </c>
      <c r="D26" s="35">
        <f>'Comparison of SAFEs'!$C$6</f>
        <v>0.3</v>
      </c>
      <c r="E26" s="35">
        <f>'Comparison of SAFEs'!$C$6</f>
        <v>0.3</v>
      </c>
      <c r="F26" s="35">
        <f>'Comparison of SAFEs'!$C$6</f>
        <v>0.3</v>
      </c>
      <c r="G26" s="35">
        <f>'Comparison of SAFEs'!$C$6</f>
        <v>0.3</v>
      </c>
      <c r="H26" s="35">
        <f>'Comparison of SAFEs'!$C$6</f>
        <v>0.3</v>
      </c>
      <c r="I26" s="35">
        <f>'Comparison of SAFEs'!$C$6</f>
        <v>0.3</v>
      </c>
      <c r="J26" s="35">
        <f>'Comparison of SAFEs'!$C$6</f>
        <v>0.3</v>
      </c>
      <c r="K26" s="35">
        <f>'Comparison of SAFEs'!$C$6</f>
        <v>0.3</v>
      </c>
      <c r="L26" s="35">
        <f>'Comparison of SAFEs'!$C$6</f>
        <v>0.3</v>
      </c>
      <c r="M26" s="35">
        <f>'Comparison of SAFEs'!$C$6</f>
        <v>0.3</v>
      </c>
    </row>
    <row r="27" spans="1:13" ht="15.6" x14ac:dyDescent="0.35">
      <c r="A27" s="4" t="s">
        <v>49</v>
      </c>
      <c r="B27" s="4" t="s">
        <v>67</v>
      </c>
      <c r="C27" s="12">
        <f>'Comparison of SAFEs'!C9</f>
        <v>5000000</v>
      </c>
      <c r="D27" s="12">
        <f>'Comparison of SAFEs'!D9</f>
        <v>6000000</v>
      </c>
      <c r="E27" s="12">
        <f>'Comparison of SAFEs'!E9</f>
        <v>7000000</v>
      </c>
      <c r="F27" s="12">
        <f>'Comparison of SAFEs'!F9</f>
        <v>8000000</v>
      </c>
      <c r="G27" s="12">
        <f>'Comparison of SAFEs'!G9</f>
        <v>9000000</v>
      </c>
      <c r="H27" s="12">
        <f>'Comparison of SAFEs'!H9</f>
        <v>10000000</v>
      </c>
      <c r="I27" s="12">
        <f>'Comparison of SAFEs'!I9</f>
        <v>11000000</v>
      </c>
      <c r="J27" s="12">
        <f>'Comparison of SAFEs'!J9</f>
        <v>12000000</v>
      </c>
      <c r="K27" s="12">
        <f>'Comparison of SAFEs'!K9</f>
        <v>13000000</v>
      </c>
      <c r="L27" s="12">
        <f>'Comparison of SAFEs'!L9</f>
        <v>14000000</v>
      </c>
      <c r="M27" s="12">
        <f>'Comparison of SAFEs'!M9</f>
        <v>15000000</v>
      </c>
    </row>
    <row r="28" spans="1:13" ht="16.8" x14ac:dyDescent="0.35">
      <c r="A28" s="4" t="s">
        <v>37</v>
      </c>
      <c r="B28" s="4" t="s">
        <v>68</v>
      </c>
      <c r="C28" s="4">
        <f t="shared" ref="C28:M28" si="64">C27-C23</f>
        <v>3000000</v>
      </c>
      <c r="D28" s="4">
        <f t="shared" si="64"/>
        <v>4000000</v>
      </c>
      <c r="E28" s="4">
        <f t="shared" si="64"/>
        <v>5000000</v>
      </c>
      <c r="F28" s="4">
        <f t="shared" si="64"/>
        <v>6000000</v>
      </c>
      <c r="G28" s="4">
        <f t="shared" si="64"/>
        <v>7000000</v>
      </c>
      <c r="H28" s="4">
        <f t="shared" si="64"/>
        <v>8000000</v>
      </c>
      <c r="I28" s="4">
        <f t="shared" si="64"/>
        <v>9000000</v>
      </c>
      <c r="J28" s="4">
        <f t="shared" si="64"/>
        <v>10000000</v>
      </c>
      <c r="K28" s="4">
        <f t="shared" si="64"/>
        <v>11000000</v>
      </c>
      <c r="L28" s="4">
        <f t="shared" si="64"/>
        <v>12000000</v>
      </c>
      <c r="M28" s="4">
        <f t="shared" si="64"/>
        <v>13000000</v>
      </c>
    </row>
    <row r="29" spans="1:13" ht="16.8" x14ac:dyDescent="0.35">
      <c r="A29" s="8" t="s">
        <v>38</v>
      </c>
      <c r="B29" s="8" t="s">
        <v>69</v>
      </c>
      <c r="C29" s="8">
        <f t="shared" ref="C29:M29" si="65">C27-C23-C22/(1-C26)</f>
        <v>2428571.4285714286</v>
      </c>
      <c r="D29" s="8">
        <f t="shared" si="65"/>
        <v>3428571.4285714286</v>
      </c>
      <c r="E29" s="8">
        <f t="shared" ref="E29" si="66">E27-E23-E22/(1-E26)</f>
        <v>4428571.4285714282</v>
      </c>
      <c r="F29" s="8">
        <f t="shared" ref="F29" si="67">F27-F23-F22/(1-F26)</f>
        <v>5428571.4285714282</v>
      </c>
      <c r="G29" s="8">
        <f t="shared" ref="G29" si="68">G27-G23-G22/(1-G26)</f>
        <v>6428571.4285714282</v>
      </c>
      <c r="H29" s="8">
        <f t="shared" ref="H29" si="69">H27-H23-H22/(1-H26)</f>
        <v>7428571.4285714282</v>
      </c>
      <c r="I29" s="8">
        <f t="shared" si="65"/>
        <v>8428571.4285714291</v>
      </c>
      <c r="J29" s="8">
        <f t="shared" si="65"/>
        <v>9428571.4285714291</v>
      </c>
      <c r="K29" s="8">
        <f t="shared" si="65"/>
        <v>10428571.428571429</v>
      </c>
      <c r="L29" s="8">
        <f t="shared" si="65"/>
        <v>11428571.428571429</v>
      </c>
      <c r="M29" s="8">
        <f t="shared" si="65"/>
        <v>12428571.428571429</v>
      </c>
    </row>
    <row r="30" spans="1:13" ht="15.6" x14ac:dyDescent="0.35">
      <c r="A30" t="s">
        <v>39</v>
      </c>
      <c r="B30" t="s">
        <v>50</v>
      </c>
      <c r="C30" s="10">
        <f>'Comparison of SAFEs'!$C$2</f>
        <v>3000000</v>
      </c>
      <c r="D30" s="10">
        <f>'Comparison of SAFEs'!$C$2</f>
        <v>3000000</v>
      </c>
      <c r="E30" s="10">
        <f>'Comparison of SAFEs'!$C$2</f>
        <v>3000000</v>
      </c>
      <c r="F30" s="10">
        <f>'Comparison of SAFEs'!$C$2</f>
        <v>3000000</v>
      </c>
      <c r="G30" s="10">
        <f>'Comparison of SAFEs'!$C$2</f>
        <v>3000000</v>
      </c>
      <c r="H30" s="10">
        <f>'Comparison of SAFEs'!$C$2</f>
        <v>3000000</v>
      </c>
      <c r="I30" s="10">
        <f>'Comparison of SAFEs'!$C$2</f>
        <v>3000000</v>
      </c>
      <c r="J30" s="10">
        <f>'Comparison of SAFEs'!$C$2</f>
        <v>3000000</v>
      </c>
      <c r="K30" s="10">
        <f>'Comparison of SAFEs'!$C$2</f>
        <v>3000000</v>
      </c>
      <c r="L30" s="10">
        <f>'Comparison of SAFEs'!$C$2</f>
        <v>3000000</v>
      </c>
      <c r="M30" s="10">
        <f>'Comparison of SAFEs'!$C$2</f>
        <v>3000000</v>
      </c>
    </row>
    <row r="31" spans="1:13" ht="15.6" x14ac:dyDescent="0.35">
      <c r="A31" t="s">
        <v>45</v>
      </c>
      <c r="B31" t="s">
        <v>51</v>
      </c>
      <c r="C31" s="1">
        <f>C22/C24</f>
        <v>705882.3529411765</v>
      </c>
      <c r="D31" s="1">
        <f t="shared" ref="C31:M32" si="70">D22/D24</f>
        <v>500000.00000000006</v>
      </c>
      <c r="E31" s="1">
        <f t="shared" ref="E31" si="71">E22/E24</f>
        <v>387096.77419354842</v>
      </c>
      <c r="F31" s="1">
        <f t="shared" ref="F31" si="72">F22/F24</f>
        <v>315789.47368421062</v>
      </c>
      <c r="G31" s="1">
        <f t="shared" ref="G31" si="73">G22/G24</f>
        <v>266666.66666666669</v>
      </c>
      <c r="H31" s="1">
        <f t="shared" ref="H31" si="74">H22/H24</f>
        <v>230769.23076923075</v>
      </c>
      <c r="I31" s="1">
        <f t="shared" si="70"/>
        <v>203389.83050847455</v>
      </c>
      <c r="J31" s="1">
        <f t="shared" si="70"/>
        <v>181818.18181818179</v>
      </c>
      <c r="K31" s="1">
        <f t="shared" si="70"/>
        <v>164383.56164383562</v>
      </c>
      <c r="L31" s="1">
        <f t="shared" si="70"/>
        <v>150000</v>
      </c>
      <c r="M31" s="1">
        <f t="shared" si="70"/>
        <v>137931.03448275864</v>
      </c>
    </row>
    <row r="32" spans="1:13" ht="15.6" x14ac:dyDescent="0.35">
      <c r="A32" s="5" t="s">
        <v>40</v>
      </c>
      <c r="B32" s="5" t="s">
        <v>52</v>
      </c>
      <c r="C32" s="6">
        <f t="shared" si="70"/>
        <v>2470588.2352941176</v>
      </c>
      <c r="D32" s="6">
        <f t="shared" si="70"/>
        <v>1750000</v>
      </c>
      <c r="E32" s="6">
        <f t="shared" ref="E32" si="75">E23/E25</f>
        <v>1354838.7096774194</v>
      </c>
      <c r="F32" s="6">
        <f t="shared" ref="F32" si="76">F23/F25</f>
        <v>1105263.1578947371</v>
      </c>
      <c r="G32" s="6">
        <f t="shared" ref="G32" si="77">G23/G25</f>
        <v>933333.33333333337</v>
      </c>
      <c r="H32" s="6">
        <f t="shared" ref="H32" si="78">H23/H25</f>
        <v>807692.30769230763</v>
      </c>
      <c r="I32" s="6">
        <f t="shared" si="70"/>
        <v>711864.40677966096</v>
      </c>
      <c r="J32" s="6">
        <f t="shared" si="70"/>
        <v>636363.63636363624</v>
      </c>
      <c r="K32" s="6">
        <f t="shared" si="70"/>
        <v>575342.46575342468</v>
      </c>
      <c r="L32" s="6">
        <f t="shared" si="70"/>
        <v>525000</v>
      </c>
      <c r="M32" s="6">
        <f t="shared" si="70"/>
        <v>482758.62068965513</v>
      </c>
    </row>
    <row r="33" spans="1:13" ht="15.6" x14ac:dyDescent="0.35">
      <c r="A33" t="s">
        <v>41</v>
      </c>
      <c r="B33" t="s">
        <v>53</v>
      </c>
      <c r="C33" s="1">
        <f t="shared" ref="C33:M33" si="79">C30+C31</f>
        <v>3705882.3529411764</v>
      </c>
      <c r="D33" s="1">
        <f t="shared" si="79"/>
        <v>3500000</v>
      </c>
      <c r="E33" s="1">
        <f t="shared" ref="E33" si="80">E30+E31</f>
        <v>3387096.7741935486</v>
      </c>
      <c r="F33" s="1">
        <f t="shared" ref="F33" si="81">F30+F31</f>
        <v>3315789.4736842108</v>
      </c>
      <c r="G33" s="1">
        <f t="shared" ref="G33" si="82">G30+G31</f>
        <v>3266666.6666666665</v>
      </c>
      <c r="H33" s="1">
        <f t="shared" ref="H33" si="83">H30+H31</f>
        <v>3230769.230769231</v>
      </c>
      <c r="I33" s="1">
        <f t="shared" si="79"/>
        <v>3203389.8305084747</v>
      </c>
      <c r="J33" s="1">
        <f t="shared" si="79"/>
        <v>3181818.1818181816</v>
      </c>
      <c r="K33" s="1">
        <f t="shared" si="79"/>
        <v>3164383.5616438356</v>
      </c>
      <c r="L33" s="1">
        <f t="shared" si="79"/>
        <v>3150000</v>
      </c>
      <c r="M33" s="1">
        <f t="shared" si="79"/>
        <v>3137931.0344827585</v>
      </c>
    </row>
    <row r="34" spans="1:13" ht="15.6" x14ac:dyDescent="0.35">
      <c r="A34" s="5" t="s">
        <v>42</v>
      </c>
      <c r="B34" s="5" t="s">
        <v>54</v>
      </c>
      <c r="C34" s="6">
        <f t="shared" ref="C34" si="84">C32+C33</f>
        <v>6176470.5882352944</v>
      </c>
      <c r="D34" s="6">
        <f t="shared" ref="D34:E34" si="85">D32+D33</f>
        <v>5250000</v>
      </c>
      <c r="E34" s="6">
        <f t="shared" si="85"/>
        <v>4741935.4838709682</v>
      </c>
      <c r="F34" s="6">
        <f t="shared" ref="F34" si="86">F32+F33</f>
        <v>4421052.6315789483</v>
      </c>
      <c r="G34" s="6">
        <f t="shared" ref="G34" si="87">G32+G33</f>
        <v>4200000</v>
      </c>
      <c r="H34" s="6">
        <f t="shared" ref="H34:I34" si="88">H32+H33</f>
        <v>4038461.5384615385</v>
      </c>
      <c r="I34" s="6">
        <f t="shared" si="88"/>
        <v>3915254.2372881356</v>
      </c>
      <c r="J34" s="6">
        <f t="shared" ref="J34" si="89">J32+J33</f>
        <v>3818181.8181818179</v>
      </c>
      <c r="K34" s="6">
        <f t="shared" ref="K34" si="90">K32+K33</f>
        <v>3739726.0273972601</v>
      </c>
      <c r="L34" s="6">
        <f t="shared" ref="L34" si="91">L32+L33</f>
        <v>3675000</v>
      </c>
      <c r="M34" s="6">
        <f t="shared" ref="M34" si="92">M32+M33</f>
        <v>3620689.6551724137</v>
      </c>
    </row>
    <row r="35" spans="1:13" ht="15.6" x14ac:dyDescent="0.35">
      <c r="A35" t="s">
        <v>119</v>
      </c>
      <c r="B35" t="s">
        <v>55</v>
      </c>
      <c r="C35" s="2">
        <f t="shared" ref="C35" si="93">C30/C34</f>
        <v>0.48571428571428571</v>
      </c>
      <c r="D35" s="2">
        <f t="shared" ref="D35:E35" si="94">D30/D34</f>
        <v>0.5714285714285714</v>
      </c>
      <c r="E35" s="2">
        <f t="shared" si="94"/>
        <v>0.63265306122448972</v>
      </c>
      <c r="F35" s="2">
        <f t="shared" ref="F35" si="95">F30/F34</f>
        <v>0.67857142857142838</v>
      </c>
      <c r="G35" s="2">
        <f t="shared" ref="G35" si="96">G30/G34</f>
        <v>0.7142857142857143</v>
      </c>
      <c r="H35" s="2">
        <f t="shared" ref="H35:I35" si="97">H30/H34</f>
        <v>0.74285714285714288</v>
      </c>
      <c r="I35" s="2">
        <f t="shared" si="97"/>
        <v>0.76623376623376627</v>
      </c>
      <c r="J35" s="2">
        <f t="shared" ref="J35" si="98">J30/J34</f>
        <v>0.78571428571428581</v>
      </c>
      <c r="K35" s="2">
        <f t="shared" ref="K35" si="99">K30/K34</f>
        <v>0.80219780219780223</v>
      </c>
      <c r="L35" s="2">
        <f t="shared" ref="L35" si="100">L30/L34</f>
        <v>0.81632653061224492</v>
      </c>
      <c r="M35" s="2">
        <f t="shared" ref="M35" si="101">M30/M34</f>
        <v>0.82857142857142863</v>
      </c>
    </row>
    <row r="36" spans="1:13" ht="15.6" x14ac:dyDescent="0.35">
      <c r="A36" t="s">
        <v>120</v>
      </c>
      <c r="B36" t="s">
        <v>56</v>
      </c>
      <c r="C36" s="2">
        <f t="shared" ref="C36:M36" si="102">C31/C34</f>
        <v>0.11428571428571428</v>
      </c>
      <c r="D36" s="2">
        <f t="shared" si="102"/>
        <v>9.5238095238095247E-2</v>
      </c>
      <c r="E36" s="2">
        <f t="shared" ref="E36" si="103">E31/E34</f>
        <v>8.1632653061224483E-2</v>
      </c>
      <c r="F36" s="2">
        <f t="shared" ref="F36" si="104">F31/F34</f>
        <v>7.1428571428571438E-2</v>
      </c>
      <c r="G36" s="2">
        <f t="shared" ref="G36" si="105">G31/G34</f>
        <v>6.3492063492063502E-2</v>
      </c>
      <c r="H36" s="2">
        <f t="shared" ref="H36" si="106">H31/H34</f>
        <v>5.7142857142857141E-2</v>
      </c>
      <c r="I36" s="2">
        <f t="shared" si="102"/>
        <v>5.1948051948051945E-2</v>
      </c>
      <c r="J36" s="2">
        <f t="shared" si="102"/>
        <v>4.7619047619047616E-2</v>
      </c>
      <c r="K36" s="2">
        <f t="shared" si="102"/>
        <v>4.3956043956043959E-2</v>
      </c>
      <c r="L36" s="2">
        <f t="shared" si="102"/>
        <v>4.0816326530612242E-2</v>
      </c>
      <c r="M36" s="2">
        <f t="shared" si="102"/>
        <v>3.8095238095238099E-2</v>
      </c>
    </row>
    <row r="37" spans="1:13" ht="15.6" x14ac:dyDescent="0.35">
      <c r="A37" s="5" t="s">
        <v>121</v>
      </c>
      <c r="B37" s="5" t="s">
        <v>57</v>
      </c>
      <c r="C37" s="7">
        <f t="shared" ref="C37:M37" si="107">C32/C34</f>
        <v>0.39999999999999997</v>
      </c>
      <c r="D37" s="7">
        <f t="shared" si="107"/>
        <v>0.33333333333333331</v>
      </c>
      <c r="E37" s="7">
        <f t="shared" ref="E37" si="108">E32/E34</f>
        <v>0.2857142857142857</v>
      </c>
      <c r="F37" s="7">
        <f t="shared" ref="F37" si="109">F32/F34</f>
        <v>0.25</v>
      </c>
      <c r="G37" s="7">
        <f t="shared" ref="G37" si="110">G32/G34</f>
        <v>0.22222222222222224</v>
      </c>
      <c r="H37" s="7">
        <f t="shared" ref="H37" si="111">H32/H34</f>
        <v>0.19999999999999998</v>
      </c>
      <c r="I37" s="7">
        <f t="shared" si="107"/>
        <v>0.1818181818181818</v>
      </c>
      <c r="J37" s="7">
        <f t="shared" si="107"/>
        <v>0.16666666666666666</v>
      </c>
      <c r="K37" s="7">
        <f t="shared" si="107"/>
        <v>0.15384615384615385</v>
      </c>
      <c r="L37" s="7">
        <f t="shared" si="107"/>
        <v>0.14285714285714285</v>
      </c>
      <c r="M37" s="7">
        <f t="shared" si="107"/>
        <v>0.13333333333333333</v>
      </c>
    </row>
    <row r="38" spans="1:13" ht="15.6" x14ac:dyDescent="0.35">
      <c r="A38" t="s">
        <v>122</v>
      </c>
      <c r="B38" t="s">
        <v>58</v>
      </c>
      <c r="C38" s="2">
        <f t="shared" ref="C38:M38" si="112">C30/C33</f>
        <v>0.80952380952380953</v>
      </c>
      <c r="D38" s="2">
        <f t="shared" si="112"/>
        <v>0.8571428571428571</v>
      </c>
      <c r="E38" s="2">
        <f t="shared" ref="E38" si="113">E30/E33</f>
        <v>0.88571428571428568</v>
      </c>
      <c r="F38" s="2">
        <f t="shared" ref="F38" si="114">F30/F33</f>
        <v>0.90476190476190466</v>
      </c>
      <c r="G38" s="2">
        <f t="shared" ref="G38" si="115">G30/G33</f>
        <v>0.91836734693877553</v>
      </c>
      <c r="H38" s="2">
        <f t="shared" ref="H38" si="116">H30/H33</f>
        <v>0.92857142857142849</v>
      </c>
      <c r="I38" s="2">
        <f t="shared" si="112"/>
        <v>0.93650793650793651</v>
      </c>
      <c r="J38" s="2">
        <f t="shared" si="112"/>
        <v>0.94285714285714295</v>
      </c>
      <c r="K38" s="2">
        <f t="shared" si="112"/>
        <v>0.94805194805194803</v>
      </c>
      <c r="L38" s="2">
        <f t="shared" si="112"/>
        <v>0.95238095238095233</v>
      </c>
      <c r="M38" s="2">
        <f t="shared" si="112"/>
        <v>0.95604395604395609</v>
      </c>
    </row>
    <row r="39" spans="1:13" ht="15.6" x14ac:dyDescent="0.35">
      <c r="A39" s="5" t="s">
        <v>123</v>
      </c>
      <c r="B39" s="5" t="s">
        <v>59</v>
      </c>
      <c r="C39" s="7">
        <f t="shared" ref="C39:M39" si="117">C31/C33</f>
        <v>0.19047619047619049</v>
      </c>
      <c r="D39" s="7">
        <f t="shared" si="117"/>
        <v>0.14285714285714288</v>
      </c>
      <c r="E39" s="7">
        <f t="shared" ref="E39" si="118">E31/E33</f>
        <v>0.1142857142857143</v>
      </c>
      <c r="F39" s="7">
        <f t="shared" ref="F39" si="119">F31/F33</f>
        <v>9.5238095238095261E-2</v>
      </c>
      <c r="G39" s="7">
        <f t="shared" ref="G39" si="120">G31/G33</f>
        <v>8.1632653061224497E-2</v>
      </c>
      <c r="H39" s="7">
        <f t="shared" ref="H39" si="121">H31/H33</f>
        <v>7.1428571428571425E-2</v>
      </c>
      <c r="I39" s="7">
        <f t="shared" si="117"/>
        <v>6.3492063492063475E-2</v>
      </c>
      <c r="J39" s="7">
        <f t="shared" si="117"/>
        <v>5.7142857142857141E-2</v>
      </c>
      <c r="K39" s="7">
        <f t="shared" si="117"/>
        <v>5.1948051948051951E-2</v>
      </c>
      <c r="L39" s="7">
        <f t="shared" si="117"/>
        <v>4.7619047619047616E-2</v>
      </c>
      <c r="M39" s="7">
        <f t="shared" si="117"/>
        <v>4.3956043956043966E-2</v>
      </c>
    </row>
    <row r="40" spans="1:13" x14ac:dyDescent="0.3">
      <c r="C40" s="22"/>
      <c r="D40" s="22"/>
      <c r="E40" s="22"/>
      <c r="F40" s="22"/>
      <c r="G40" s="22"/>
      <c r="H40" s="22"/>
      <c r="I40" s="22"/>
      <c r="J40" s="22"/>
      <c r="K40" s="22"/>
      <c r="L40" s="22"/>
      <c r="M40" s="22"/>
    </row>
    <row r="41" spans="1:13" x14ac:dyDescent="0.3">
      <c r="A41" s="60" t="s">
        <v>114</v>
      </c>
      <c r="B41" s="60"/>
      <c r="C41" s="60"/>
      <c r="D41" s="60"/>
      <c r="E41" s="60"/>
      <c r="F41" s="60"/>
      <c r="G41" s="60"/>
      <c r="H41" s="60"/>
      <c r="I41" s="60"/>
      <c r="J41" s="60"/>
      <c r="K41" s="60"/>
      <c r="L41" s="60"/>
      <c r="M41" s="60"/>
    </row>
    <row r="42" spans="1:13" ht="15.6" x14ac:dyDescent="0.35">
      <c r="A42" t="s">
        <v>6</v>
      </c>
      <c r="B42" t="s">
        <v>60</v>
      </c>
      <c r="C42" s="12">
        <f>'Comparison of SAFEs'!$C$3</f>
        <v>400000</v>
      </c>
      <c r="D42" s="12">
        <f>'Comparison of SAFEs'!$C$3</f>
        <v>400000</v>
      </c>
      <c r="E42" s="12">
        <f>'Comparison of SAFEs'!$C$3</f>
        <v>400000</v>
      </c>
      <c r="F42" s="12">
        <f>'Comparison of SAFEs'!$C$3</f>
        <v>400000</v>
      </c>
      <c r="G42" s="12">
        <f>'Comparison of SAFEs'!$C$3</f>
        <v>400000</v>
      </c>
      <c r="H42" s="12">
        <f>'Comparison of SAFEs'!$C$3</f>
        <v>400000</v>
      </c>
      <c r="I42" s="12">
        <f>'Comparison of SAFEs'!$C$3</f>
        <v>400000</v>
      </c>
      <c r="J42" s="12">
        <f>'Comparison of SAFEs'!$C$3</f>
        <v>400000</v>
      </c>
      <c r="K42" s="12">
        <f>'Comparison of SAFEs'!$C$3</f>
        <v>400000</v>
      </c>
      <c r="L42" s="12">
        <f>'Comparison of SAFEs'!$C$3</f>
        <v>400000</v>
      </c>
      <c r="M42" s="12">
        <f>'Comparison of SAFEs'!$C$3</f>
        <v>400000</v>
      </c>
    </row>
    <row r="43" spans="1:13" ht="15.6" x14ac:dyDescent="0.35">
      <c r="A43" s="5" t="s">
        <v>33</v>
      </c>
      <c r="B43" s="5" t="s">
        <v>61</v>
      </c>
      <c r="C43" s="11">
        <f>'Comparison of SAFEs'!$C$4</f>
        <v>2000000</v>
      </c>
      <c r="D43" s="11">
        <f>'Comparison of SAFEs'!$C$4</f>
        <v>2000000</v>
      </c>
      <c r="E43" s="11">
        <f>'Comparison of SAFEs'!$C$4</f>
        <v>2000000</v>
      </c>
      <c r="F43" s="11">
        <f>'Comparison of SAFEs'!$C$4</f>
        <v>2000000</v>
      </c>
      <c r="G43" s="11">
        <f>'Comparison of SAFEs'!$C$4</f>
        <v>2000000</v>
      </c>
      <c r="H43" s="11">
        <f>'Comparison of SAFEs'!$C$4</f>
        <v>2000000</v>
      </c>
      <c r="I43" s="11">
        <f>'Comparison of SAFEs'!$C$4</f>
        <v>2000000</v>
      </c>
      <c r="J43" s="11">
        <f>'Comparison of SAFEs'!$C$4</f>
        <v>2000000</v>
      </c>
      <c r="K43" s="11">
        <f>'Comparison of SAFEs'!$C$4</f>
        <v>2000000</v>
      </c>
      <c r="L43" s="11">
        <f>'Comparison of SAFEs'!$C$4</f>
        <v>2000000</v>
      </c>
      <c r="M43" s="11">
        <f>'Comparison of SAFEs'!$C$4</f>
        <v>2000000</v>
      </c>
    </row>
    <row r="44" spans="1:13" ht="15.6" x14ac:dyDescent="0.35">
      <c r="A44" s="3" t="s">
        <v>102</v>
      </c>
      <c r="B44" s="3" t="s">
        <v>111</v>
      </c>
      <c r="C44" s="3">
        <f t="shared" ref="C44:M44" si="122">C47/C53</f>
        <v>1.3333333333333333</v>
      </c>
      <c r="D44" s="3">
        <f t="shared" si="122"/>
        <v>1.3333333333333333</v>
      </c>
      <c r="E44" s="3">
        <f t="shared" si="122"/>
        <v>1.3333333333333333</v>
      </c>
      <c r="F44" s="3">
        <f t="shared" si="122"/>
        <v>1.3333333333333333</v>
      </c>
      <c r="G44" s="3">
        <f t="shared" si="122"/>
        <v>1.3333333333333333</v>
      </c>
      <c r="H44" s="3">
        <f t="shared" si="122"/>
        <v>1.3333333333333333</v>
      </c>
      <c r="I44" s="3">
        <f t="shared" si="122"/>
        <v>1.3333333333333333</v>
      </c>
      <c r="J44" s="3">
        <f t="shared" si="122"/>
        <v>1.3333333333333333</v>
      </c>
      <c r="K44" s="3">
        <f t="shared" si="122"/>
        <v>1.3333333333333333</v>
      </c>
      <c r="L44" s="3">
        <f t="shared" si="122"/>
        <v>1.3333333333333333</v>
      </c>
      <c r="M44" s="3">
        <f t="shared" si="122"/>
        <v>1.3333333333333333</v>
      </c>
    </row>
    <row r="45" spans="1:13" ht="15.6" x14ac:dyDescent="0.35">
      <c r="A45" s="9" t="s">
        <v>35</v>
      </c>
      <c r="B45" s="9" t="s">
        <v>63</v>
      </c>
      <c r="C45" s="9">
        <f t="shared" ref="C45:M45" si="123">C51/C56</f>
        <v>0.90909090909090906</v>
      </c>
      <c r="D45" s="9">
        <f t="shared" si="123"/>
        <v>1.2121212121212122</v>
      </c>
      <c r="E45" s="9">
        <f t="shared" ref="E45" si="124">E51/E56</f>
        <v>1.5151515151515151</v>
      </c>
      <c r="F45" s="9">
        <f t="shared" ref="F45" si="125">F51/F56</f>
        <v>1.8181818181818181</v>
      </c>
      <c r="G45" s="9">
        <f t="shared" ref="G45" si="126">G51/G56</f>
        <v>2.1212121212121211</v>
      </c>
      <c r="H45" s="9">
        <f t="shared" ref="H45" si="127">H51/H56</f>
        <v>2.4242424242424243</v>
      </c>
      <c r="I45" s="9">
        <f t="shared" si="123"/>
        <v>2.7272727272727271</v>
      </c>
      <c r="J45" s="9">
        <f t="shared" si="123"/>
        <v>3.0303030303030303</v>
      </c>
      <c r="K45" s="9">
        <f t="shared" si="123"/>
        <v>3.3333333333333335</v>
      </c>
      <c r="L45" s="9">
        <f t="shared" si="123"/>
        <v>3.6363636363636362</v>
      </c>
      <c r="M45" s="9">
        <f t="shared" si="123"/>
        <v>3.9393939393939394</v>
      </c>
    </row>
    <row r="46" spans="1:13" ht="15.6" x14ac:dyDescent="0.35">
      <c r="A46" s="22" t="s">
        <v>36</v>
      </c>
      <c r="B46" s="22" t="s">
        <v>64</v>
      </c>
      <c r="C46" s="35">
        <f>'Comparison of SAFEs'!$C$6</f>
        <v>0.3</v>
      </c>
      <c r="D46" s="35">
        <f>'Comparison of SAFEs'!$C$6</f>
        <v>0.3</v>
      </c>
      <c r="E46" s="35">
        <f>'Comparison of SAFEs'!$C$6</f>
        <v>0.3</v>
      </c>
      <c r="F46" s="35">
        <f>'Comparison of SAFEs'!$C$6</f>
        <v>0.3</v>
      </c>
      <c r="G46" s="35">
        <f>'Comparison of SAFEs'!$C$6</f>
        <v>0.3</v>
      </c>
      <c r="H46" s="35">
        <f>'Comparison of SAFEs'!$C$6</f>
        <v>0.3</v>
      </c>
      <c r="I46" s="35">
        <f>'Comparison of SAFEs'!$C$6</f>
        <v>0.3</v>
      </c>
      <c r="J46" s="35">
        <f>'Comparison of SAFEs'!$C$6</f>
        <v>0.3</v>
      </c>
      <c r="K46" s="35">
        <f>'Comparison of SAFEs'!$C$6</f>
        <v>0.3</v>
      </c>
      <c r="L46" s="35">
        <f>'Comparison of SAFEs'!$C$6</f>
        <v>0.3</v>
      </c>
      <c r="M46" s="35">
        <f>'Comparison of SAFEs'!$C$6</f>
        <v>0.3</v>
      </c>
    </row>
    <row r="47" spans="1:13" ht="16.8" x14ac:dyDescent="0.35">
      <c r="A47" t="s">
        <v>11</v>
      </c>
      <c r="B47" t="s">
        <v>65</v>
      </c>
      <c r="C47" s="12">
        <f>'Comparison of SAFEs'!$C$7</f>
        <v>4000000</v>
      </c>
      <c r="D47" s="12">
        <f>'Comparison of SAFEs'!$C$7</f>
        <v>4000000</v>
      </c>
      <c r="E47" s="12">
        <f>'Comparison of SAFEs'!$C$7</f>
        <v>4000000</v>
      </c>
      <c r="F47" s="12">
        <f>'Comparison of SAFEs'!$C$7</f>
        <v>4000000</v>
      </c>
      <c r="G47" s="12">
        <f>'Comparison of SAFEs'!$C$7</f>
        <v>4000000</v>
      </c>
      <c r="H47" s="12">
        <f>'Comparison of SAFEs'!$C$7</f>
        <v>4000000</v>
      </c>
      <c r="I47" s="12">
        <f>'Comparison of SAFEs'!$C$7</f>
        <v>4000000</v>
      </c>
      <c r="J47" s="12">
        <f>'Comparison of SAFEs'!$C$7</f>
        <v>4000000</v>
      </c>
      <c r="K47" s="12">
        <f>'Comparison of SAFEs'!$C$7</f>
        <v>4000000</v>
      </c>
      <c r="L47" s="12">
        <f>'Comparison of SAFEs'!$C$7</f>
        <v>4000000</v>
      </c>
      <c r="M47" s="12">
        <f>'Comparison of SAFEs'!$C$7</f>
        <v>4000000</v>
      </c>
    </row>
    <row r="48" spans="1:13" ht="15.6" x14ac:dyDescent="0.35">
      <c r="A48" t="s">
        <v>103</v>
      </c>
      <c r="B48" s="3" t="s">
        <v>110</v>
      </c>
      <c r="C48" s="3">
        <f>C24</f>
        <v>0.56666666666666665</v>
      </c>
      <c r="D48" s="3">
        <f t="shared" ref="D48:M48" si="128">D24</f>
        <v>0.79999999999999993</v>
      </c>
      <c r="E48" s="3">
        <f t="shared" si="128"/>
        <v>1.0333333333333332</v>
      </c>
      <c r="F48" s="3">
        <f t="shared" si="128"/>
        <v>1.2666666666666664</v>
      </c>
      <c r="G48" s="3">
        <f t="shared" si="128"/>
        <v>1.4999999999999998</v>
      </c>
      <c r="H48" s="3">
        <f t="shared" si="128"/>
        <v>1.7333333333333334</v>
      </c>
      <c r="I48" s="3">
        <f t="shared" si="128"/>
        <v>1.9666666666666668</v>
      </c>
      <c r="J48" s="3">
        <f t="shared" si="128"/>
        <v>2.2000000000000002</v>
      </c>
      <c r="K48" s="3">
        <f t="shared" si="128"/>
        <v>2.4333333333333331</v>
      </c>
      <c r="L48" s="3">
        <f t="shared" si="128"/>
        <v>2.6666666666666665</v>
      </c>
      <c r="M48" s="3">
        <f t="shared" si="128"/>
        <v>2.9</v>
      </c>
    </row>
    <row r="49" spans="1:13" ht="15.6" x14ac:dyDescent="0.35">
      <c r="A49" s="5" t="s">
        <v>106</v>
      </c>
      <c r="B49" s="9" t="s">
        <v>112</v>
      </c>
      <c r="C49" s="8" t="str">
        <f>IF(C44&lt;C48,"Yes","No")</f>
        <v>No</v>
      </c>
      <c r="D49" s="8" t="str">
        <f t="shared" ref="D49:M49" si="129">IF(D44&lt;D48,"Yes","No")</f>
        <v>No</v>
      </c>
      <c r="E49" s="8" t="str">
        <f t="shared" si="129"/>
        <v>No</v>
      </c>
      <c r="F49" s="8" t="str">
        <f t="shared" si="129"/>
        <v>No</v>
      </c>
      <c r="G49" s="8" t="str">
        <f t="shared" si="129"/>
        <v>Yes</v>
      </c>
      <c r="H49" s="8" t="str">
        <f t="shared" si="129"/>
        <v>Yes</v>
      </c>
      <c r="I49" s="8" t="str">
        <f t="shared" si="129"/>
        <v>Yes</v>
      </c>
      <c r="J49" s="8" t="str">
        <f t="shared" si="129"/>
        <v>Yes</v>
      </c>
      <c r="K49" s="8" t="str">
        <f t="shared" si="129"/>
        <v>Yes</v>
      </c>
      <c r="L49" s="8" t="str">
        <f t="shared" si="129"/>
        <v>Yes</v>
      </c>
      <c r="M49" s="8" t="str">
        <f t="shared" si="129"/>
        <v>Yes</v>
      </c>
    </row>
    <row r="50" spans="1:13" ht="15.6" x14ac:dyDescent="0.35">
      <c r="A50" s="4" t="s">
        <v>49</v>
      </c>
      <c r="B50" s="4" t="s">
        <v>67</v>
      </c>
      <c r="C50" s="12">
        <f>'Comparison of SAFEs'!C9</f>
        <v>5000000</v>
      </c>
      <c r="D50" s="12">
        <f>'Comparison of SAFEs'!D9</f>
        <v>6000000</v>
      </c>
      <c r="E50" s="12">
        <f>'Comparison of SAFEs'!E9</f>
        <v>7000000</v>
      </c>
      <c r="F50" s="12">
        <f>'Comparison of SAFEs'!F9</f>
        <v>8000000</v>
      </c>
      <c r="G50" s="12">
        <f>'Comparison of SAFEs'!G9</f>
        <v>9000000</v>
      </c>
      <c r="H50" s="12">
        <f>'Comparison of SAFEs'!H9</f>
        <v>10000000</v>
      </c>
      <c r="I50" s="12">
        <f>'Comparison of SAFEs'!I9</f>
        <v>11000000</v>
      </c>
      <c r="J50" s="12">
        <f>'Comparison of SAFEs'!J9</f>
        <v>12000000</v>
      </c>
      <c r="K50" s="12">
        <f>'Comparison of SAFEs'!K9</f>
        <v>13000000</v>
      </c>
      <c r="L50" s="12">
        <f>'Comparison of SAFEs'!L9</f>
        <v>14000000</v>
      </c>
      <c r="M50" s="12">
        <f>'Comparison of SAFEs'!M9</f>
        <v>15000000</v>
      </c>
    </row>
    <row r="51" spans="1:13" ht="16.8" x14ac:dyDescent="0.35">
      <c r="A51" s="4" t="s">
        <v>37</v>
      </c>
      <c r="B51" s="4" t="s">
        <v>68</v>
      </c>
      <c r="C51" s="4">
        <f t="shared" ref="C51:M51" si="130">C50-C43</f>
        <v>3000000</v>
      </c>
      <c r="D51" s="4">
        <f t="shared" si="130"/>
        <v>4000000</v>
      </c>
      <c r="E51" s="4">
        <f t="shared" si="130"/>
        <v>5000000</v>
      </c>
      <c r="F51" s="4">
        <f t="shared" si="130"/>
        <v>6000000</v>
      </c>
      <c r="G51" s="4">
        <f t="shared" si="130"/>
        <v>7000000</v>
      </c>
      <c r="H51" s="4">
        <f t="shared" si="130"/>
        <v>8000000</v>
      </c>
      <c r="I51" s="4">
        <f t="shared" si="130"/>
        <v>9000000</v>
      </c>
      <c r="J51" s="4">
        <f t="shared" si="130"/>
        <v>10000000</v>
      </c>
      <c r="K51" s="4">
        <f t="shared" si="130"/>
        <v>11000000</v>
      </c>
      <c r="L51" s="4">
        <f t="shared" si="130"/>
        <v>12000000</v>
      </c>
      <c r="M51" s="4">
        <f t="shared" si="130"/>
        <v>13000000</v>
      </c>
    </row>
    <row r="52" spans="1:13" ht="16.8" x14ac:dyDescent="0.35">
      <c r="A52" s="8" t="s">
        <v>38</v>
      </c>
      <c r="B52" s="8" t="s">
        <v>69</v>
      </c>
      <c r="C52" s="8">
        <f t="shared" ref="C52:M52" si="131">C45*C53</f>
        <v>2727272.7272727271</v>
      </c>
      <c r="D52" s="8">
        <f t="shared" si="131"/>
        <v>3636363.6363636362</v>
      </c>
      <c r="E52" s="8">
        <f t="shared" si="131"/>
        <v>4545454.5454545459</v>
      </c>
      <c r="F52" s="8">
        <f t="shared" si="131"/>
        <v>5454545.4545454541</v>
      </c>
      <c r="G52" s="8">
        <f t="shared" si="131"/>
        <v>6363636.3636363633</v>
      </c>
      <c r="H52" s="8">
        <f t="shared" si="131"/>
        <v>7272727.2727272725</v>
      </c>
      <c r="I52" s="8">
        <f t="shared" si="131"/>
        <v>8181818.1818181816</v>
      </c>
      <c r="J52" s="8">
        <f t="shared" si="131"/>
        <v>9090909.0909090918</v>
      </c>
      <c r="K52" s="8">
        <f t="shared" si="131"/>
        <v>10000000</v>
      </c>
      <c r="L52" s="8">
        <f t="shared" si="131"/>
        <v>10909090.909090908</v>
      </c>
      <c r="M52" s="8">
        <f t="shared" si="131"/>
        <v>11818181.818181818</v>
      </c>
    </row>
    <row r="53" spans="1:13" ht="15.6" x14ac:dyDescent="0.35">
      <c r="A53" t="s">
        <v>39</v>
      </c>
      <c r="B53" t="s">
        <v>50</v>
      </c>
      <c r="C53" s="10">
        <f>'Comparison of SAFEs'!$C$2</f>
        <v>3000000</v>
      </c>
      <c r="D53" s="10">
        <f>'Comparison of SAFEs'!$C$2</f>
        <v>3000000</v>
      </c>
      <c r="E53" s="10">
        <f>'Comparison of SAFEs'!$C$2</f>
        <v>3000000</v>
      </c>
      <c r="F53" s="10">
        <f>'Comparison of SAFEs'!$C$2</f>
        <v>3000000</v>
      </c>
      <c r="G53" s="10">
        <f>'Comparison of SAFEs'!$C$2</f>
        <v>3000000</v>
      </c>
      <c r="H53" s="10">
        <f>'Comparison of SAFEs'!$C$2</f>
        <v>3000000</v>
      </c>
      <c r="I53" s="10">
        <f>'Comparison of SAFEs'!$C$2</f>
        <v>3000000</v>
      </c>
      <c r="J53" s="10">
        <f>'Comparison of SAFEs'!$C$2</f>
        <v>3000000</v>
      </c>
      <c r="K53" s="10">
        <f>'Comparison of SAFEs'!$C$2</f>
        <v>3000000</v>
      </c>
      <c r="L53" s="10">
        <f>'Comparison of SAFEs'!$C$2</f>
        <v>3000000</v>
      </c>
      <c r="M53" s="10">
        <f>'Comparison of SAFEs'!$C$2</f>
        <v>3000000</v>
      </c>
    </row>
    <row r="54" spans="1:13" ht="15.6" x14ac:dyDescent="0.35">
      <c r="A54" t="s">
        <v>45</v>
      </c>
      <c r="B54" t="s">
        <v>51</v>
      </c>
      <c r="C54" s="1">
        <f t="shared" ref="C54:M54" si="132">C42/C44</f>
        <v>300000</v>
      </c>
      <c r="D54" s="1">
        <f t="shared" si="132"/>
        <v>300000</v>
      </c>
      <c r="E54" s="1">
        <f t="shared" si="132"/>
        <v>300000</v>
      </c>
      <c r="F54" s="1">
        <f t="shared" si="132"/>
        <v>300000</v>
      </c>
      <c r="G54" s="1">
        <f t="shared" si="132"/>
        <v>300000</v>
      </c>
      <c r="H54" s="1">
        <f t="shared" si="132"/>
        <v>300000</v>
      </c>
      <c r="I54" s="1">
        <f t="shared" si="132"/>
        <v>300000</v>
      </c>
      <c r="J54" s="1">
        <f t="shared" si="132"/>
        <v>300000</v>
      </c>
      <c r="K54" s="1">
        <f t="shared" si="132"/>
        <v>300000</v>
      </c>
      <c r="L54" s="1">
        <f t="shared" si="132"/>
        <v>300000</v>
      </c>
      <c r="M54" s="1">
        <f t="shared" si="132"/>
        <v>300000</v>
      </c>
    </row>
    <row r="55" spans="1:13" ht="15.6" x14ac:dyDescent="0.35">
      <c r="A55" s="5" t="s">
        <v>40</v>
      </c>
      <c r="B55" s="5" t="s">
        <v>52</v>
      </c>
      <c r="C55" s="6">
        <f t="shared" ref="C55:M55" si="133">C43/C45</f>
        <v>2200000</v>
      </c>
      <c r="D55" s="6">
        <f t="shared" si="133"/>
        <v>1650000</v>
      </c>
      <c r="E55" s="6">
        <f t="shared" si="133"/>
        <v>1320000</v>
      </c>
      <c r="F55" s="6">
        <f t="shared" si="133"/>
        <v>1100000</v>
      </c>
      <c r="G55" s="6">
        <f t="shared" si="133"/>
        <v>942857.14285714296</v>
      </c>
      <c r="H55" s="6">
        <f t="shared" si="133"/>
        <v>825000</v>
      </c>
      <c r="I55" s="6">
        <f t="shared" si="133"/>
        <v>733333.33333333337</v>
      </c>
      <c r="J55" s="6">
        <f t="shared" si="133"/>
        <v>660000</v>
      </c>
      <c r="K55" s="6">
        <f t="shared" si="133"/>
        <v>600000</v>
      </c>
      <c r="L55" s="6">
        <f t="shared" si="133"/>
        <v>550000</v>
      </c>
      <c r="M55" s="6">
        <f t="shared" si="133"/>
        <v>507692.30769230769</v>
      </c>
    </row>
    <row r="56" spans="1:13" ht="15.6" x14ac:dyDescent="0.35">
      <c r="A56" t="s">
        <v>41</v>
      </c>
      <c r="B56" t="s">
        <v>53</v>
      </c>
      <c r="C56" s="1">
        <f t="shared" ref="C56:M56" si="134">C53+C54</f>
        <v>3300000</v>
      </c>
      <c r="D56" s="1">
        <f t="shared" si="134"/>
        <v>3300000</v>
      </c>
      <c r="E56" s="1">
        <f t="shared" ref="E56" si="135">E53+E54</f>
        <v>3300000</v>
      </c>
      <c r="F56" s="1">
        <f t="shared" ref="F56" si="136">F53+F54</f>
        <v>3300000</v>
      </c>
      <c r="G56" s="1">
        <f t="shared" ref="G56" si="137">G53+G54</f>
        <v>3300000</v>
      </c>
      <c r="H56" s="1">
        <f t="shared" ref="H56" si="138">H53+H54</f>
        <v>3300000</v>
      </c>
      <c r="I56" s="1">
        <f t="shared" si="134"/>
        <v>3300000</v>
      </c>
      <c r="J56" s="1">
        <f t="shared" si="134"/>
        <v>3300000</v>
      </c>
      <c r="K56" s="1">
        <f t="shared" si="134"/>
        <v>3300000</v>
      </c>
      <c r="L56" s="1">
        <f t="shared" si="134"/>
        <v>3300000</v>
      </c>
      <c r="M56" s="1">
        <f t="shared" si="134"/>
        <v>3300000</v>
      </c>
    </row>
    <row r="57" spans="1:13" ht="15.6" x14ac:dyDescent="0.35">
      <c r="A57" s="5" t="s">
        <v>42</v>
      </c>
      <c r="B57" s="5" t="s">
        <v>54</v>
      </c>
      <c r="C57" s="6">
        <f t="shared" ref="C57:M57" si="139">C55+C56</f>
        <v>5500000</v>
      </c>
      <c r="D57" s="6">
        <f t="shared" si="139"/>
        <v>4950000</v>
      </c>
      <c r="E57" s="6">
        <f t="shared" ref="E57" si="140">E55+E56</f>
        <v>4620000</v>
      </c>
      <c r="F57" s="6">
        <f t="shared" ref="F57" si="141">F55+F56</f>
        <v>4400000</v>
      </c>
      <c r="G57" s="6">
        <f t="shared" ref="G57" si="142">G55+G56</f>
        <v>4242857.1428571427</v>
      </c>
      <c r="H57" s="6">
        <f t="shared" ref="H57" si="143">H55+H56</f>
        <v>4125000</v>
      </c>
      <c r="I57" s="6">
        <f t="shared" si="139"/>
        <v>4033333.3333333335</v>
      </c>
      <c r="J57" s="6">
        <f t="shared" si="139"/>
        <v>3960000</v>
      </c>
      <c r="K57" s="6">
        <f t="shared" si="139"/>
        <v>3900000</v>
      </c>
      <c r="L57" s="6">
        <f t="shared" si="139"/>
        <v>3850000</v>
      </c>
      <c r="M57" s="6">
        <f t="shared" si="139"/>
        <v>3807692.3076923075</v>
      </c>
    </row>
    <row r="58" spans="1:13" ht="15.6" x14ac:dyDescent="0.35">
      <c r="A58" t="s">
        <v>119</v>
      </c>
      <c r="B58" t="s">
        <v>55</v>
      </c>
      <c r="C58" s="2">
        <f t="shared" ref="C58:M58" si="144">C53/C57</f>
        <v>0.54545454545454541</v>
      </c>
      <c r="D58" s="2">
        <f t="shared" si="144"/>
        <v>0.60606060606060608</v>
      </c>
      <c r="E58" s="2">
        <f t="shared" ref="E58" si="145">E53/E57</f>
        <v>0.64935064935064934</v>
      </c>
      <c r="F58" s="2">
        <f t="shared" ref="F58" si="146">F53/F57</f>
        <v>0.68181818181818177</v>
      </c>
      <c r="G58" s="2">
        <f t="shared" ref="G58" si="147">G53/G57</f>
        <v>0.70707070707070707</v>
      </c>
      <c r="H58" s="2">
        <f t="shared" ref="H58" si="148">H53/H57</f>
        <v>0.72727272727272729</v>
      </c>
      <c r="I58" s="2">
        <f t="shared" si="144"/>
        <v>0.74380165289256195</v>
      </c>
      <c r="J58" s="2">
        <f t="shared" si="144"/>
        <v>0.75757575757575757</v>
      </c>
      <c r="K58" s="2">
        <f t="shared" si="144"/>
        <v>0.76923076923076927</v>
      </c>
      <c r="L58" s="2">
        <f t="shared" si="144"/>
        <v>0.77922077922077926</v>
      </c>
      <c r="M58" s="2">
        <f t="shared" si="144"/>
        <v>0.78787878787878796</v>
      </c>
    </row>
    <row r="59" spans="1:13" ht="15.6" x14ac:dyDescent="0.35">
      <c r="A59" t="s">
        <v>120</v>
      </c>
      <c r="B59" t="s">
        <v>56</v>
      </c>
      <c r="C59" s="2">
        <f t="shared" ref="C59:M59" si="149">C54/C57</f>
        <v>5.4545454545454543E-2</v>
      </c>
      <c r="D59" s="2">
        <f t="shared" si="149"/>
        <v>6.0606060606060608E-2</v>
      </c>
      <c r="E59" s="2">
        <f t="shared" ref="E59" si="150">E54/E57</f>
        <v>6.4935064935064929E-2</v>
      </c>
      <c r="F59" s="2">
        <f t="shared" ref="F59" si="151">F54/F57</f>
        <v>6.8181818181818177E-2</v>
      </c>
      <c r="G59" s="2">
        <f t="shared" ref="G59" si="152">G54/G57</f>
        <v>7.0707070707070704E-2</v>
      </c>
      <c r="H59" s="2">
        <f t="shared" ref="H59" si="153">H54/H57</f>
        <v>7.2727272727272724E-2</v>
      </c>
      <c r="I59" s="2">
        <f t="shared" si="149"/>
        <v>7.43801652892562E-2</v>
      </c>
      <c r="J59" s="2">
        <f t="shared" si="149"/>
        <v>7.575757575757576E-2</v>
      </c>
      <c r="K59" s="2">
        <f t="shared" si="149"/>
        <v>7.6923076923076927E-2</v>
      </c>
      <c r="L59" s="2">
        <f t="shared" si="149"/>
        <v>7.792207792207792E-2</v>
      </c>
      <c r="M59" s="2">
        <f t="shared" si="149"/>
        <v>7.8787878787878796E-2</v>
      </c>
    </row>
    <row r="60" spans="1:13" ht="15.6" x14ac:dyDescent="0.35">
      <c r="A60" s="5" t="s">
        <v>121</v>
      </c>
      <c r="B60" s="5" t="s">
        <v>57</v>
      </c>
      <c r="C60" s="7">
        <f t="shared" ref="C60:M60" si="154">C55/C57</f>
        <v>0.4</v>
      </c>
      <c r="D60" s="7">
        <f t="shared" si="154"/>
        <v>0.33333333333333331</v>
      </c>
      <c r="E60" s="7">
        <f t="shared" ref="E60" si="155">E55/E57</f>
        <v>0.2857142857142857</v>
      </c>
      <c r="F60" s="7">
        <f t="shared" ref="F60" si="156">F55/F57</f>
        <v>0.25</v>
      </c>
      <c r="G60" s="7">
        <f t="shared" ref="G60" si="157">G55/G57</f>
        <v>0.22222222222222227</v>
      </c>
      <c r="H60" s="7">
        <f t="shared" ref="H60" si="158">H55/H57</f>
        <v>0.2</v>
      </c>
      <c r="I60" s="7">
        <f t="shared" si="154"/>
        <v>0.18181818181818182</v>
      </c>
      <c r="J60" s="7">
        <f t="shared" si="154"/>
        <v>0.16666666666666666</v>
      </c>
      <c r="K60" s="7">
        <f t="shared" si="154"/>
        <v>0.15384615384615385</v>
      </c>
      <c r="L60" s="7">
        <f t="shared" si="154"/>
        <v>0.14285714285714285</v>
      </c>
      <c r="M60" s="7">
        <f t="shared" si="154"/>
        <v>0.13333333333333333</v>
      </c>
    </row>
    <row r="61" spans="1:13" ht="15.6" x14ac:dyDescent="0.35">
      <c r="A61" t="s">
        <v>122</v>
      </c>
      <c r="B61" t="s">
        <v>58</v>
      </c>
      <c r="C61" s="2">
        <f t="shared" ref="C61:M61" si="159">C53/C56</f>
        <v>0.90909090909090906</v>
      </c>
      <c r="D61" s="2">
        <f t="shared" si="159"/>
        <v>0.90909090909090906</v>
      </c>
      <c r="E61" s="2">
        <f t="shared" ref="E61" si="160">E53/E56</f>
        <v>0.90909090909090906</v>
      </c>
      <c r="F61" s="2">
        <f t="shared" ref="F61" si="161">F53/F56</f>
        <v>0.90909090909090906</v>
      </c>
      <c r="G61" s="2">
        <f t="shared" ref="G61" si="162">G53/G56</f>
        <v>0.90909090909090906</v>
      </c>
      <c r="H61" s="2">
        <f t="shared" ref="H61" si="163">H53/H56</f>
        <v>0.90909090909090906</v>
      </c>
      <c r="I61" s="2">
        <f t="shared" si="159"/>
        <v>0.90909090909090906</v>
      </c>
      <c r="J61" s="2">
        <f t="shared" si="159"/>
        <v>0.90909090909090906</v>
      </c>
      <c r="K61" s="2">
        <f t="shared" si="159"/>
        <v>0.90909090909090906</v>
      </c>
      <c r="L61" s="2">
        <f t="shared" si="159"/>
        <v>0.90909090909090906</v>
      </c>
      <c r="M61" s="2">
        <f t="shared" si="159"/>
        <v>0.90909090909090906</v>
      </c>
    </row>
    <row r="62" spans="1:13" ht="15.6" x14ac:dyDescent="0.35">
      <c r="A62" s="5" t="s">
        <v>123</v>
      </c>
      <c r="B62" s="5" t="s">
        <v>59</v>
      </c>
      <c r="C62" s="7">
        <f t="shared" ref="C62:M62" si="164">C54/C56</f>
        <v>9.0909090909090912E-2</v>
      </c>
      <c r="D62" s="7">
        <f t="shared" si="164"/>
        <v>9.0909090909090912E-2</v>
      </c>
      <c r="E62" s="7">
        <f t="shared" ref="E62" si="165">E54/E56</f>
        <v>9.0909090909090912E-2</v>
      </c>
      <c r="F62" s="7">
        <f t="shared" ref="F62" si="166">F54/F56</f>
        <v>9.0909090909090912E-2</v>
      </c>
      <c r="G62" s="7">
        <f t="shared" ref="G62" si="167">G54/G56</f>
        <v>9.0909090909090912E-2</v>
      </c>
      <c r="H62" s="7">
        <f t="shared" ref="H62" si="168">H54/H56</f>
        <v>9.0909090909090912E-2</v>
      </c>
      <c r="I62" s="7">
        <f t="shared" si="164"/>
        <v>9.0909090909090912E-2</v>
      </c>
      <c r="J62" s="7">
        <f t="shared" si="164"/>
        <v>9.0909090909090912E-2</v>
      </c>
      <c r="K62" s="7">
        <f t="shared" si="164"/>
        <v>9.0909090909090912E-2</v>
      </c>
      <c r="L62" s="7">
        <f t="shared" si="164"/>
        <v>9.0909090909090912E-2</v>
      </c>
      <c r="M62" s="7">
        <f t="shared" si="164"/>
        <v>9.0909090909090912E-2</v>
      </c>
    </row>
    <row r="63" spans="1:13" x14ac:dyDescent="0.3">
      <c r="C63" s="5"/>
      <c r="D63" s="5"/>
      <c r="E63" s="5"/>
      <c r="F63" s="5"/>
      <c r="G63" s="5"/>
      <c r="H63" s="5"/>
      <c r="I63" s="5"/>
      <c r="J63" s="5"/>
      <c r="K63" s="5"/>
      <c r="L63" s="5"/>
      <c r="M63" s="5"/>
    </row>
    <row r="64" spans="1:13" x14ac:dyDescent="0.3">
      <c r="A64" s="60" t="s">
        <v>115</v>
      </c>
      <c r="B64" s="60"/>
      <c r="C64" s="60"/>
      <c r="D64" s="60"/>
      <c r="E64" s="60"/>
      <c r="F64" s="60"/>
      <c r="G64" s="60"/>
      <c r="H64" s="60"/>
      <c r="I64" s="60"/>
      <c r="J64" s="60"/>
      <c r="K64" s="60"/>
      <c r="L64" s="60"/>
      <c r="M64" s="60"/>
    </row>
    <row r="65" spans="1:13" ht="15.6" x14ac:dyDescent="0.35">
      <c r="A65" t="s">
        <v>6</v>
      </c>
      <c r="B65" t="s">
        <v>60</v>
      </c>
      <c r="C65" s="12">
        <f>'Comparison of SAFEs'!$C$3</f>
        <v>400000</v>
      </c>
      <c r="D65" s="12">
        <f>'Comparison of SAFEs'!$C$3</f>
        <v>400000</v>
      </c>
      <c r="E65" s="12">
        <f>'Comparison of SAFEs'!$C$3</f>
        <v>400000</v>
      </c>
      <c r="F65" s="12">
        <f>'Comparison of SAFEs'!$C$3</f>
        <v>400000</v>
      </c>
      <c r="G65" s="12">
        <f>'Comparison of SAFEs'!$C$3</f>
        <v>400000</v>
      </c>
      <c r="H65" s="12">
        <f>'Comparison of SAFEs'!$C$3</f>
        <v>400000</v>
      </c>
      <c r="I65" s="12">
        <f>'Comparison of SAFEs'!$C$3</f>
        <v>400000</v>
      </c>
      <c r="J65" s="12">
        <f>'Comparison of SAFEs'!$C$3</f>
        <v>400000</v>
      </c>
      <c r="K65" s="12">
        <f>'Comparison of SAFEs'!$C$3</f>
        <v>400000</v>
      </c>
      <c r="L65" s="12">
        <f>'Comparison of SAFEs'!$C$3</f>
        <v>400000</v>
      </c>
      <c r="M65" s="12">
        <f>'Comparison of SAFEs'!$C$3</f>
        <v>400000</v>
      </c>
    </row>
    <row r="66" spans="1:13" ht="15.6" x14ac:dyDescent="0.35">
      <c r="A66" s="5" t="s">
        <v>33</v>
      </c>
      <c r="B66" s="5" t="s">
        <v>61</v>
      </c>
      <c r="C66" s="11">
        <f>'Comparison of SAFEs'!$C$4</f>
        <v>2000000</v>
      </c>
      <c r="D66" s="11">
        <f>'Comparison of SAFEs'!$C$4</f>
        <v>2000000</v>
      </c>
      <c r="E66" s="11">
        <f>'Comparison of SAFEs'!$C$4</f>
        <v>2000000</v>
      </c>
      <c r="F66" s="11">
        <f>'Comparison of SAFEs'!$C$4</f>
        <v>2000000</v>
      </c>
      <c r="G66" s="11">
        <f>'Comparison of SAFEs'!$C$4</f>
        <v>2000000</v>
      </c>
      <c r="H66" s="11">
        <f>'Comparison of SAFEs'!$C$4</f>
        <v>2000000</v>
      </c>
      <c r="I66" s="11">
        <f>'Comparison of SAFEs'!$C$4</f>
        <v>2000000</v>
      </c>
      <c r="J66" s="11">
        <f>'Comparison of SAFEs'!$C$4</f>
        <v>2000000</v>
      </c>
      <c r="K66" s="11">
        <f>'Comparison of SAFEs'!$C$4</f>
        <v>2000000</v>
      </c>
      <c r="L66" s="11">
        <f>'Comparison of SAFEs'!$C$4</f>
        <v>2000000</v>
      </c>
      <c r="M66" s="11">
        <f>'Comparison of SAFEs'!$C$4</f>
        <v>2000000</v>
      </c>
    </row>
    <row r="67" spans="1:13" ht="15.6" x14ac:dyDescent="0.35">
      <c r="A67" s="3" t="s">
        <v>102</v>
      </c>
      <c r="B67" s="3" t="s">
        <v>113</v>
      </c>
      <c r="C67" s="3">
        <f t="shared" ref="C67:M67" si="169">C65/C77</f>
        <v>1.2000000000000002</v>
      </c>
      <c r="D67" s="3">
        <f t="shared" si="169"/>
        <v>1.2000000000000002</v>
      </c>
      <c r="E67" s="3">
        <f t="shared" ref="E67" si="170">E65/E77</f>
        <v>1.2000000000000002</v>
      </c>
      <c r="F67" s="3">
        <f t="shared" ref="F67" si="171">F65/F77</f>
        <v>1.2000000000000002</v>
      </c>
      <c r="G67" s="3">
        <f t="shared" ref="G67" si="172">G65/G77</f>
        <v>1.2000000000000002</v>
      </c>
      <c r="H67" s="3">
        <f t="shared" ref="H67" si="173">H65/H77</f>
        <v>1.2000000000000002</v>
      </c>
      <c r="I67" s="3">
        <f t="shared" si="169"/>
        <v>1.2000000000000002</v>
      </c>
      <c r="J67" s="3">
        <f t="shared" si="169"/>
        <v>1.2000000000000002</v>
      </c>
      <c r="K67" s="3">
        <f t="shared" si="169"/>
        <v>1.2000000000000002</v>
      </c>
      <c r="L67" s="3">
        <f t="shared" si="169"/>
        <v>1.2000000000000002</v>
      </c>
      <c r="M67" s="3">
        <f t="shared" si="169"/>
        <v>1.2000000000000002</v>
      </c>
    </row>
    <row r="68" spans="1:13" ht="15.6" x14ac:dyDescent="0.35">
      <c r="A68" s="9" t="s">
        <v>35</v>
      </c>
      <c r="B68" s="9" t="s">
        <v>63</v>
      </c>
      <c r="C68" s="9">
        <f t="shared" ref="C68:M68" si="174">C74/C79</f>
        <v>0.90000000000000013</v>
      </c>
      <c r="D68" s="9">
        <f t="shared" si="174"/>
        <v>1.2000000000000002</v>
      </c>
      <c r="E68" s="9">
        <f t="shared" ref="E68" si="175">E74/E79</f>
        <v>1.5000000000000002</v>
      </c>
      <c r="F68" s="9">
        <f t="shared" ref="F68" si="176">F74/F79</f>
        <v>1.8000000000000003</v>
      </c>
      <c r="G68" s="9">
        <f t="shared" ref="G68" si="177">G74/G79</f>
        <v>2.1</v>
      </c>
      <c r="H68" s="9">
        <f t="shared" ref="H68" si="178">H74/H79</f>
        <v>2.4000000000000004</v>
      </c>
      <c r="I68" s="9">
        <f t="shared" si="174"/>
        <v>2.7</v>
      </c>
      <c r="J68" s="9">
        <f t="shared" si="174"/>
        <v>3.0000000000000004</v>
      </c>
      <c r="K68" s="9">
        <f t="shared" si="174"/>
        <v>3.3000000000000003</v>
      </c>
      <c r="L68" s="9">
        <f t="shared" si="174"/>
        <v>3.6000000000000005</v>
      </c>
      <c r="M68" s="9">
        <f t="shared" si="174"/>
        <v>3.9000000000000004</v>
      </c>
    </row>
    <row r="69" spans="1:13" ht="15.6" x14ac:dyDescent="0.35">
      <c r="A69" s="22" t="s">
        <v>36</v>
      </c>
      <c r="B69" s="22" t="s">
        <v>64</v>
      </c>
      <c r="C69" s="35">
        <f>'Comparison of SAFEs'!$C$6</f>
        <v>0.3</v>
      </c>
      <c r="D69" s="35">
        <f>'Comparison of SAFEs'!$C$6</f>
        <v>0.3</v>
      </c>
      <c r="E69" s="35">
        <f>'Comparison of SAFEs'!$C$6</f>
        <v>0.3</v>
      </c>
      <c r="F69" s="35">
        <f>'Comparison of SAFEs'!$C$6</f>
        <v>0.3</v>
      </c>
      <c r="G69" s="35">
        <f>'Comparison of SAFEs'!$C$6</f>
        <v>0.3</v>
      </c>
      <c r="H69" s="35">
        <f>'Comparison of SAFEs'!$C$6</f>
        <v>0.3</v>
      </c>
      <c r="I69" s="35">
        <f>'Comparison of SAFEs'!$C$6</f>
        <v>0.3</v>
      </c>
      <c r="J69" s="35">
        <f>'Comparison of SAFEs'!$C$6</f>
        <v>0.3</v>
      </c>
      <c r="K69" s="35">
        <f>'Comparison of SAFEs'!$C$6</f>
        <v>0.3</v>
      </c>
      <c r="L69" s="35">
        <f>'Comparison of SAFEs'!$C$6</f>
        <v>0.3</v>
      </c>
      <c r="M69" s="35">
        <f>'Comparison of SAFEs'!$C$6</f>
        <v>0.3</v>
      </c>
    </row>
    <row r="70" spans="1:13" ht="16.8" x14ac:dyDescent="0.35">
      <c r="A70" t="s">
        <v>12</v>
      </c>
      <c r="B70" t="s">
        <v>66</v>
      </c>
      <c r="C70" s="12">
        <f>'Comparison of SAFEs'!$C$8</f>
        <v>4000000</v>
      </c>
      <c r="D70" s="12">
        <f>'Comparison of SAFEs'!$C$8</f>
        <v>4000000</v>
      </c>
      <c r="E70" s="12">
        <f>'Comparison of SAFEs'!$C$8</f>
        <v>4000000</v>
      </c>
      <c r="F70" s="12">
        <f>'Comparison of SAFEs'!$C$8</f>
        <v>4000000</v>
      </c>
      <c r="G70" s="12">
        <f>'Comparison of SAFEs'!$C$8</f>
        <v>4000000</v>
      </c>
      <c r="H70" s="12">
        <f>'Comparison of SAFEs'!$C$8</f>
        <v>4000000</v>
      </c>
      <c r="I70" s="12">
        <f>'Comparison of SAFEs'!$C$8</f>
        <v>4000000</v>
      </c>
      <c r="J70" s="12">
        <f>'Comparison of SAFEs'!$C$8</f>
        <v>4000000</v>
      </c>
      <c r="K70" s="12">
        <f>'Comparison of SAFEs'!$C$8</f>
        <v>4000000</v>
      </c>
      <c r="L70" s="12">
        <f>'Comparison of SAFEs'!$C$8</f>
        <v>4000000</v>
      </c>
      <c r="M70" s="12">
        <f>'Comparison of SAFEs'!$C$8</f>
        <v>4000000</v>
      </c>
    </row>
    <row r="71" spans="1:13" ht="15.6" x14ac:dyDescent="0.35">
      <c r="A71" t="s">
        <v>103</v>
      </c>
      <c r="B71" s="3" t="s">
        <v>110</v>
      </c>
      <c r="C71" s="3">
        <f t="shared" ref="C71:M71" si="179">C24</f>
        <v>0.56666666666666665</v>
      </c>
      <c r="D71" s="3">
        <f t="shared" si="179"/>
        <v>0.79999999999999993</v>
      </c>
      <c r="E71" s="3">
        <f t="shared" si="179"/>
        <v>1.0333333333333332</v>
      </c>
      <c r="F71" s="3">
        <f t="shared" si="179"/>
        <v>1.2666666666666664</v>
      </c>
      <c r="G71" s="3">
        <f t="shared" si="179"/>
        <v>1.4999999999999998</v>
      </c>
      <c r="H71" s="3">
        <f t="shared" si="179"/>
        <v>1.7333333333333334</v>
      </c>
      <c r="I71" s="3">
        <f t="shared" si="179"/>
        <v>1.9666666666666668</v>
      </c>
      <c r="J71" s="3">
        <f t="shared" si="179"/>
        <v>2.2000000000000002</v>
      </c>
      <c r="K71" s="3">
        <f t="shared" si="179"/>
        <v>2.4333333333333331</v>
      </c>
      <c r="L71" s="3">
        <f t="shared" si="179"/>
        <v>2.6666666666666665</v>
      </c>
      <c r="M71" s="3">
        <f t="shared" si="179"/>
        <v>2.9</v>
      </c>
    </row>
    <row r="72" spans="1:13" ht="15.6" x14ac:dyDescent="0.35">
      <c r="A72" s="5" t="s">
        <v>105</v>
      </c>
      <c r="B72" s="9" t="s">
        <v>112</v>
      </c>
      <c r="C72" s="57" t="str">
        <f>IF(C67&lt;C71,"Yes","No")</f>
        <v>No</v>
      </c>
      <c r="D72" s="57" t="str">
        <f>IF(D67&lt;D71,"Yes","No")</f>
        <v>No</v>
      </c>
      <c r="E72" s="57" t="str">
        <f>IF(E67&lt;E71,"Yes","No")</f>
        <v>No</v>
      </c>
      <c r="F72" s="8" t="str">
        <f>IF(F67&lt;F71,"Yes","No")</f>
        <v>Yes</v>
      </c>
      <c r="G72" s="8" t="str">
        <f t="shared" ref="G72:M72" si="180">IF(G67&lt;G71,"Yes","No")</f>
        <v>Yes</v>
      </c>
      <c r="H72" s="8" t="str">
        <f t="shared" si="180"/>
        <v>Yes</v>
      </c>
      <c r="I72" s="8" t="str">
        <f t="shared" si="180"/>
        <v>Yes</v>
      </c>
      <c r="J72" s="8" t="str">
        <f t="shared" si="180"/>
        <v>Yes</v>
      </c>
      <c r="K72" s="8" t="str">
        <f t="shared" si="180"/>
        <v>Yes</v>
      </c>
      <c r="L72" s="8" t="str">
        <f t="shared" si="180"/>
        <v>Yes</v>
      </c>
      <c r="M72" s="8" t="str">
        <f t="shared" si="180"/>
        <v>Yes</v>
      </c>
    </row>
    <row r="73" spans="1:13" ht="15.6" x14ac:dyDescent="0.35">
      <c r="A73" s="4" t="s">
        <v>49</v>
      </c>
      <c r="B73" s="4" t="s">
        <v>67</v>
      </c>
      <c r="C73" s="12">
        <f>'Comparison of SAFEs'!C9</f>
        <v>5000000</v>
      </c>
      <c r="D73" s="12">
        <f>'Comparison of SAFEs'!D9</f>
        <v>6000000</v>
      </c>
      <c r="E73" s="12">
        <f>'Comparison of SAFEs'!E9</f>
        <v>7000000</v>
      </c>
      <c r="F73" s="12">
        <f>'Comparison of SAFEs'!F9</f>
        <v>8000000</v>
      </c>
      <c r="G73" s="12">
        <f>'Comparison of SAFEs'!G9</f>
        <v>9000000</v>
      </c>
      <c r="H73" s="12">
        <f>'Comparison of SAFEs'!H9</f>
        <v>10000000</v>
      </c>
      <c r="I73" s="12">
        <f>'Comparison of SAFEs'!I9</f>
        <v>11000000</v>
      </c>
      <c r="J73" s="12">
        <f>'Comparison of SAFEs'!J9</f>
        <v>12000000</v>
      </c>
      <c r="K73" s="12">
        <f>'Comparison of SAFEs'!K9</f>
        <v>13000000</v>
      </c>
      <c r="L73" s="12">
        <f>'Comparison of SAFEs'!L9</f>
        <v>14000000</v>
      </c>
      <c r="M73" s="12">
        <f>'Comparison of SAFEs'!M9</f>
        <v>15000000</v>
      </c>
    </row>
    <row r="74" spans="1:13" ht="16.8" x14ac:dyDescent="0.35">
      <c r="A74" s="4" t="s">
        <v>37</v>
      </c>
      <c r="B74" s="4" t="s">
        <v>68</v>
      </c>
      <c r="C74" s="4">
        <f t="shared" ref="C74:M74" si="181">C73-C66</f>
        <v>3000000</v>
      </c>
      <c r="D74" s="4">
        <f t="shared" si="181"/>
        <v>4000000</v>
      </c>
      <c r="E74" s="4">
        <f t="shared" si="181"/>
        <v>5000000</v>
      </c>
      <c r="F74" s="4">
        <f t="shared" si="181"/>
        <v>6000000</v>
      </c>
      <c r="G74" s="4">
        <f t="shared" si="181"/>
        <v>7000000</v>
      </c>
      <c r="H74" s="4">
        <f t="shared" si="181"/>
        <v>8000000</v>
      </c>
      <c r="I74" s="4">
        <f t="shared" si="181"/>
        <v>9000000</v>
      </c>
      <c r="J74" s="4">
        <f t="shared" si="181"/>
        <v>10000000</v>
      </c>
      <c r="K74" s="4">
        <f t="shared" si="181"/>
        <v>11000000</v>
      </c>
      <c r="L74" s="4">
        <f t="shared" si="181"/>
        <v>12000000</v>
      </c>
      <c r="M74" s="4">
        <f t="shared" si="181"/>
        <v>13000000</v>
      </c>
    </row>
    <row r="75" spans="1:13" ht="16.8" x14ac:dyDescent="0.35">
      <c r="A75" s="8" t="s">
        <v>38</v>
      </c>
      <c r="B75" s="8" t="s">
        <v>69</v>
      </c>
      <c r="C75" s="8">
        <f t="shared" ref="C75:M75" si="182">C68*C76</f>
        <v>2700000.0000000005</v>
      </c>
      <c r="D75" s="8">
        <f t="shared" si="182"/>
        <v>3600000.0000000005</v>
      </c>
      <c r="E75" s="8">
        <f t="shared" si="182"/>
        <v>4500000.0000000009</v>
      </c>
      <c r="F75" s="8">
        <f t="shared" si="182"/>
        <v>5400000.0000000009</v>
      </c>
      <c r="G75" s="8">
        <f t="shared" si="182"/>
        <v>6300000</v>
      </c>
      <c r="H75" s="8">
        <f t="shared" si="182"/>
        <v>7200000.0000000009</v>
      </c>
      <c r="I75" s="8">
        <f t="shared" si="182"/>
        <v>8100000.0000000009</v>
      </c>
      <c r="J75" s="8">
        <f t="shared" si="182"/>
        <v>9000000.0000000019</v>
      </c>
      <c r="K75" s="8">
        <f t="shared" si="182"/>
        <v>9900000</v>
      </c>
      <c r="L75" s="8">
        <f t="shared" si="182"/>
        <v>10800000.000000002</v>
      </c>
      <c r="M75" s="8">
        <f t="shared" si="182"/>
        <v>11700000.000000002</v>
      </c>
    </row>
    <row r="76" spans="1:13" ht="15.6" x14ac:dyDescent="0.35">
      <c r="A76" t="s">
        <v>39</v>
      </c>
      <c r="B76" t="s">
        <v>50</v>
      </c>
      <c r="C76" s="10">
        <f>'Comparison of SAFEs'!$C$2</f>
        <v>3000000</v>
      </c>
      <c r="D76" s="10">
        <f>'Comparison of SAFEs'!$C$2</f>
        <v>3000000</v>
      </c>
      <c r="E76" s="10">
        <f>'Comparison of SAFEs'!$C$2</f>
        <v>3000000</v>
      </c>
      <c r="F76" s="10">
        <f>'Comparison of SAFEs'!$C$2</f>
        <v>3000000</v>
      </c>
      <c r="G76" s="10">
        <f>'Comparison of SAFEs'!$C$2</f>
        <v>3000000</v>
      </c>
      <c r="H76" s="10">
        <f>'Comparison of SAFEs'!$C$2</f>
        <v>3000000</v>
      </c>
      <c r="I76" s="10">
        <f>'Comparison of SAFEs'!$C$2</f>
        <v>3000000</v>
      </c>
      <c r="J76" s="10">
        <f>'Comparison of SAFEs'!$C$2</f>
        <v>3000000</v>
      </c>
      <c r="K76" s="10">
        <f>'Comparison of SAFEs'!$C$2</f>
        <v>3000000</v>
      </c>
      <c r="L76" s="10">
        <f>'Comparison of SAFEs'!$C$2</f>
        <v>3000000</v>
      </c>
      <c r="M76" s="10">
        <f>'Comparison of SAFEs'!$C$2</f>
        <v>3000000</v>
      </c>
    </row>
    <row r="77" spans="1:13" ht="15.6" x14ac:dyDescent="0.35">
      <c r="A77" t="s">
        <v>45</v>
      </c>
      <c r="B77" t="s">
        <v>51</v>
      </c>
      <c r="C77" s="1">
        <f t="shared" ref="C77:M77" si="183">C85*C79</f>
        <v>333333.33333333331</v>
      </c>
      <c r="D77" s="1">
        <f t="shared" si="183"/>
        <v>333333.33333333331</v>
      </c>
      <c r="E77" s="1">
        <f t="shared" ref="E77" si="184">E85*E79</f>
        <v>333333.33333333331</v>
      </c>
      <c r="F77" s="1">
        <f t="shared" ref="F77" si="185">F85*F79</f>
        <v>333333.33333333331</v>
      </c>
      <c r="G77" s="1">
        <f t="shared" ref="G77" si="186">G85*G79</f>
        <v>333333.33333333331</v>
      </c>
      <c r="H77" s="1">
        <f t="shared" ref="H77" si="187">H85*H79</f>
        <v>333333.33333333331</v>
      </c>
      <c r="I77" s="1">
        <f t="shared" si="183"/>
        <v>333333.33333333331</v>
      </c>
      <c r="J77" s="1">
        <f t="shared" si="183"/>
        <v>333333.33333333331</v>
      </c>
      <c r="K77" s="1">
        <f t="shared" si="183"/>
        <v>333333.33333333331</v>
      </c>
      <c r="L77" s="1">
        <f t="shared" si="183"/>
        <v>333333.33333333331</v>
      </c>
      <c r="M77" s="1">
        <f t="shared" si="183"/>
        <v>333333.33333333331</v>
      </c>
    </row>
    <row r="78" spans="1:13" ht="15.6" x14ac:dyDescent="0.35">
      <c r="A78" s="5" t="s">
        <v>40</v>
      </c>
      <c r="B78" s="5" t="s">
        <v>52</v>
      </c>
      <c r="C78" s="6">
        <f t="shared" ref="C78:M78" si="188">C66/C68</f>
        <v>2222222.222222222</v>
      </c>
      <c r="D78" s="6">
        <f t="shared" si="188"/>
        <v>1666666.6666666665</v>
      </c>
      <c r="E78" s="6">
        <f t="shared" ref="E78" si="189">E66/E68</f>
        <v>1333333.333333333</v>
      </c>
      <c r="F78" s="6">
        <f t="shared" ref="F78" si="190">F66/F68</f>
        <v>1111111.111111111</v>
      </c>
      <c r="G78" s="6">
        <f t="shared" ref="G78" si="191">G66/G68</f>
        <v>952380.95238095231</v>
      </c>
      <c r="H78" s="6">
        <f t="shared" ref="H78" si="192">H66/H68</f>
        <v>833333.33333333326</v>
      </c>
      <c r="I78" s="6">
        <f t="shared" si="188"/>
        <v>740740.74074074067</v>
      </c>
      <c r="J78" s="6">
        <f t="shared" si="188"/>
        <v>666666.66666666651</v>
      </c>
      <c r="K78" s="6">
        <f t="shared" si="188"/>
        <v>606060.60606060596</v>
      </c>
      <c r="L78" s="6">
        <f t="shared" si="188"/>
        <v>555555.5555555555</v>
      </c>
      <c r="M78" s="6">
        <f t="shared" si="188"/>
        <v>512820.51282051275</v>
      </c>
    </row>
    <row r="79" spans="1:13" ht="15.6" x14ac:dyDescent="0.35">
      <c r="A79" t="s">
        <v>41</v>
      </c>
      <c r="B79" t="s">
        <v>53</v>
      </c>
      <c r="C79" s="1">
        <f t="shared" ref="C79:M79" si="193">C76/(1-C85)</f>
        <v>3333333.333333333</v>
      </c>
      <c r="D79" s="1">
        <f t="shared" si="193"/>
        <v>3333333.333333333</v>
      </c>
      <c r="E79" s="1">
        <f t="shared" ref="E79" si="194">E76/(1-E85)</f>
        <v>3333333.333333333</v>
      </c>
      <c r="F79" s="1">
        <f t="shared" ref="F79" si="195">F76/(1-F85)</f>
        <v>3333333.333333333</v>
      </c>
      <c r="G79" s="1">
        <f t="shared" ref="G79" si="196">G76/(1-G85)</f>
        <v>3333333.333333333</v>
      </c>
      <c r="H79" s="1">
        <f t="shared" ref="H79" si="197">H76/(1-H85)</f>
        <v>3333333.333333333</v>
      </c>
      <c r="I79" s="1">
        <f t="shared" si="193"/>
        <v>3333333.333333333</v>
      </c>
      <c r="J79" s="1">
        <f t="shared" si="193"/>
        <v>3333333.333333333</v>
      </c>
      <c r="K79" s="1">
        <f t="shared" si="193"/>
        <v>3333333.333333333</v>
      </c>
      <c r="L79" s="1">
        <f t="shared" si="193"/>
        <v>3333333.333333333</v>
      </c>
      <c r="M79" s="1">
        <f t="shared" si="193"/>
        <v>3333333.333333333</v>
      </c>
    </row>
    <row r="80" spans="1:13" ht="15.6" x14ac:dyDescent="0.35">
      <c r="A80" s="5" t="s">
        <v>42</v>
      </c>
      <c r="B80" s="5" t="s">
        <v>54</v>
      </c>
      <c r="C80" s="6">
        <f t="shared" ref="C80:M80" si="198">C78+C79</f>
        <v>5555555.555555555</v>
      </c>
      <c r="D80" s="6">
        <f t="shared" si="198"/>
        <v>5000000</v>
      </c>
      <c r="E80" s="6">
        <f t="shared" ref="E80" si="199">E78+E79</f>
        <v>4666666.666666666</v>
      </c>
      <c r="F80" s="6">
        <f t="shared" ref="F80" si="200">F78+F79</f>
        <v>4444444.444444444</v>
      </c>
      <c r="G80" s="6">
        <f t="shared" ref="G80" si="201">G78+G79</f>
        <v>4285714.2857142854</v>
      </c>
      <c r="H80" s="6">
        <f t="shared" ref="H80" si="202">H78+H79</f>
        <v>4166666.666666666</v>
      </c>
      <c r="I80" s="6">
        <f t="shared" si="198"/>
        <v>4074074.0740740737</v>
      </c>
      <c r="J80" s="6">
        <f t="shared" si="198"/>
        <v>3999999.9999999995</v>
      </c>
      <c r="K80" s="6">
        <f t="shared" si="198"/>
        <v>3939393.939393939</v>
      </c>
      <c r="L80" s="6">
        <f t="shared" si="198"/>
        <v>3888888.8888888885</v>
      </c>
      <c r="M80" s="6">
        <f t="shared" si="198"/>
        <v>3846153.846153846</v>
      </c>
    </row>
    <row r="81" spans="1:13" ht="15.6" x14ac:dyDescent="0.35">
      <c r="A81" t="s">
        <v>119</v>
      </c>
      <c r="B81" t="s">
        <v>55</v>
      </c>
      <c r="C81" s="2">
        <f t="shared" ref="C81:M81" si="203">C76/C80</f>
        <v>0.54</v>
      </c>
      <c r="D81" s="2">
        <f t="shared" si="203"/>
        <v>0.6</v>
      </c>
      <c r="E81" s="2">
        <f t="shared" ref="E81" si="204">E76/E80</f>
        <v>0.6428571428571429</v>
      </c>
      <c r="F81" s="2">
        <f t="shared" ref="F81" si="205">F76/F80</f>
        <v>0.67500000000000004</v>
      </c>
      <c r="G81" s="2">
        <f t="shared" ref="G81" si="206">G76/G80</f>
        <v>0.70000000000000007</v>
      </c>
      <c r="H81" s="2">
        <f t="shared" ref="H81" si="207">H76/H80</f>
        <v>0.72000000000000008</v>
      </c>
      <c r="I81" s="2">
        <f t="shared" si="203"/>
        <v>0.73636363636363644</v>
      </c>
      <c r="J81" s="2">
        <f t="shared" si="203"/>
        <v>0.75000000000000011</v>
      </c>
      <c r="K81" s="2">
        <f t="shared" si="203"/>
        <v>0.76153846153846161</v>
      </c>
      <c r="L81" s="2">
        <f t="shared" si="203"/>
        <v>0.77142857142857146</v>
      </c>
      <c r="M81" s="2">
        <f t="shared" si="203"/>
        <v>0.78</v>
      </c>
    </row>
    <row r="82" spans="1:13" ht="15.6" x14ac:dyDescent="0.35">
      <c r="A82" t="s">
        <v>120</v>
      </c>
      <c r="B82" t="s">
        <v>56</v>
      </c>
      <c r="C82" s="2">
        <f t="shared" ref="C82:M82" si="208">C77/C80</f>
        <v>6.0000000000000005E-2</v>
      </c>
      <c r="D82" s="2">
        <f t="shared" si="208"/>
        <v>6.6666666666666666E-2</v>
      </c>
      <c r="E82" s="2">
        <f t="shared" ref="E82" si="209">E77/E80</f>
        <v>7.1428571428571438E-2</v>
      </c>
      <c r="F82" s="2">
        <f t="shared" ref="F82" si="210">F77/F80</f>
        <v>7.4999999999999997E-2</v>
      </c>
      <c r="G82" s="2">
        <f t="shared" ref="G82" si="211">G77/G80</f>
        <v>7.7777777777777779E-2</v>
      </c>
      <c r="H82" s="2">
        <f t="shared" ref="H82" si="212">H77/H80</f>
        <v>0.08</v>
      </c>
      <c r="I82" s="2">
        <f t="shared" si="208"/>
        <v>8.1818181818181818E-2</v>
      </c>
      <c r="J82" s="2">
        <f t="shared" si="208"/>
        <v>8.3333333333333343E-2</v>
      </c>
      <c r="K82" s="2">
        <f t="shared" si="208"/>
        <v>8.461538461538462E-2</v>
      </c>
      <c r="L82" s="2">
        <f t="shared" si="208"/>
        <v>8.5714285714285715E-2</v>
      </c>
      <c r="M82" s="2">
        <f t="shared" si="208"/>
        <v>8.666666666666667E-2</v>
      </c>
    </row>
    <row r="83" spans="1:13" ht="15.6" x14ac:dyDescent="0.35">
      <c r="A83" s="5" t="s">
        <v>121</v>
      </c>
      <c r="B83" s="5" t="s">
        <v>57</v>
      </c>
      <c r="C83" s="7">
        <f t="shared" ref="C83:M83" si="213">C78/C80</f>
        <v>0.4</v>
      </c>
      <c r="D83" s="7">
        <f t="shared" si="213"/>
        <v>0.33333333333333331</v>
      </c>
      <c r="E83" s="7">
        <f t="shared" ref="E83" si="214">E78/E80</f>
        <v>0.2857142857142857</v>
      </c>
      <c r="F83" s="7">
        <f t="shared" ref="F83" si="215">F78/F80</f>
        <v>0.25</v>
      </c>
      <c r="G83" s="7">
        <f t="shared" ref="G83" si="216">G78/G80</f>
        <v>0.22222222222222221</v>
      </c>
      <c r="H83" s="7">
        <f t="shared" ref="H83" si="217">H78/H80</f>
        <v>0.2</v>
      </c>
      <c r="I83" s="7">
        <f t="shared" si="213"/>
        <v>0.18181818181818182</v>
      </c>
      <c r="J83" s="7">
        <f t="shared" si="213"/>
        <v>0.16666666666666666</v>
      </c>
      <c r="K83" s="7">
        <f t="shared" si="213"/>
        <v>0.15384615384615383</v>
      </c>
      <c r="L83" s="7">
        <f t="shared" si="213"/>
        <v>0.14285714285714285</v>
      </c>
      <c r="M83" s="7">
        <f t="shared" si="213"/>
        <v>0.13333333333333333</v>
      </c>
    </row>
    <row r="84" spans="1:13" ht="15.6" x14ac:dyDescent="0.35">
      <c r="A84" t="s">
        <v>122</v>
      </c>
      <c r="B84" t="s">
        <v>58</v>
      </c>
      <c r="C84" s="2">
        <f t="shared" ref="C84:M84" si="218">1-C85</f>
        <v>0.9</v>
      </c>
      <c r="D84" s="2">
        <f t="shared" si="218"/>
        <v>0.9</v>
      </c>
      <c r="E84" s="2">
        <f t="shared" si="218"/>
        <v>0.9</v>
      </c>
      <c r="F84" s="2">
        <f t="shared" si="218"/>
        <v>0.9</v>
      </c>
      <c r="G84" s="2">
        <f t="shared" si="218"/>
        <v>0.9</v>
      </c>
      <c r="H84" s="2">
        <f t="shared" si="218"/>
        <v>0.9</v>
      </c>
      <c r="I84" s="2">
        <f t="shared" si="218"/>
        <v>0.9</v>
      </c>
      <c r="J84" s="2">
        <f t="shared" si="218"/>
        <v>0.9</v>
      </c>
      <c r="K84" s="2">
        <f t="shared" si="218"/>
        <v>0.9</v>
      </c>
      <c r="L84" s="2">
        <f t="shared" si="218"/>
        <v>0.9</v>
      </c>
      <c r="M84" s="2">
        <f t="shared" si="218"/>
        <v>0.9</v>
      </c>
    </row>
    <row r="85" spans="1:13" ht="15.6" x14ac:dyDescent="0.35">
      <c r="A85" s="5" t="s">
        <v>123</v>
      </c>
      <c r="B85" s="5" t="s">
        <v>59</v>
      </c>
      <c r="C85" s="7">
        <f t="shared" ref="C85:M85" si="219">C65/C70</f>
        <v>0.1</v>
      </c>
      <c r="D85" s="7">
        <f t="shared" si="219"/>
        <v>0.1</v>
      </c>
      <c r="E85" s="7">
        <f t="shared" ref="E85" si="220">E65/E70</f>
        <v>0.1</v>
      </c>
      <c r="F85" s="7">
        <f t="shared" ref="F85" si="221">F65/F70</f>
        <v>0.1</v>
      </c>
      <c r="G85" s="7">
        <f t="shared" ref="G85" si="222">G65/G70</f>
        <v>0.1</v>
      </c>
      <c r="H85" s="7">
        <f t="shared" ref="H85" si="223">H65/H70</f>
        <v>0.1</v>
      </c>
      <c r="I85" s="7">
        <f t="shared" si="219"/>
        <v>0.1</v>
      </c>
      <c r="J85" s="7">
        <f t="shared" si="219"/>
        <v>0.1</v>
      </c>
      <c r="K85" s="7">
        <f t="shared" si="219"/>
        <v>0.1</v>
      </c>
      <c r="L85" s="7">
        <f t="shared" si="219"/>
        <v>0.1</v>
      </c>
      <c r="M85" s="7">
        <f t="shared" si="219"/>
        <v>0.1</v>
      </c>
    </row>
    <row r="105" spans="1:13" x14ac:dyDescent="0.3">
      <c r="C105" s="39"/>
      <c r="D105" s="39"/>
      <c r="E105" s="39"/>
      <c r="F105" s="39"/>
      <c r="G105" s="39"/>
      <c r="H105" s="39"/>
      <c r="I105" s="39"/>
      <c r="J105" s="39"/>
      <c r="K105" s="39"/>
      <c r="L105" s="39"/>
      <c r="M105" s="39"/>
    </row>
    <row r="106" spans="1:13" x14ac:dyDescent="0.3">
      <c r="C106" s="39"/>
      <c r="D106" s="39"/>
      <c r="E106" s="39"/>
      <c r="F106" s="39"/>
      <c r="G106" s="39"/>
      <c r="H106" s="39"/>
      <c r="I106" s="39"/>
      <c r="J106" s="39"/>
      <c r="K106" s="39"/>
      <c r="L106" s="39"/>
      <c r="M106" s="39"/>
    </row>
    <row r="109" spans="1:13" ht="100.8" x14ac:dyDescent="0.3">
      <c r="A109" s="47" t="s">
        <v>104</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1B724-4B5E-41D4-808E-9FF6DCE23851}">
  <dimension ref="A1:F34"/>
  <sheetViews>
    <sheetView tabSelected="1" workbookViewId="0"/>
  </sheetViews>
  <sheetFormatPr defaultRowHeight="14.4" x14ac:dyDescent="0.3"/>
  <cols>
    <col min="1" max="1" width="33.33203125" bestFit="1" customWidth="1"/>
    <col min="2" max="2" width="10.33203125" bestFit="1" customWidth="1"/>
    <col min="4" max="4" width="28.5546875" bestFit="1" customWidth="1"/>
    <col min="6" max="6" width="31.21875" bestFit="1" customWidth="1"/>
  </cols>
  <sheetData>
    <row r="1" spans="1:6" x14ac:dyDescent="0.3">
      <c r="A1" t="s">
        <v>130</v>
      </c>
    </row>
    <row r="3" spans="1:6" x14ac:dyDescent="0.3">
      <c r="A3" s="34" t="s">
        <v>9</v>
      </c>
      <c r="C3" s="50"/>
      <c r="D3" s="46" t="s">
        <v>131</v>
      </c>
      <c r="E3" s="50"/>
      <c r="F3" s="46" t="s">
        <v>132</v>
      </c>
    </row>
    <row r="4" spans="1:6" x14ac:dyDescent="0.3">
      <c r="A4" s="21" t="s">
        <v>10</v>
      </c>
      <c r="B4" s="21"/>
      <c r="C4" s="51"/>
      <c r="D4" s="51" t="s">
        <v>99</v>
      </c>
      <c r="E4" s="51"/>
      <c r="F4" s="51" t="s">
        <v>99</v>
      </c>
    </row>
    <row r="5" spans="1:6" x14ac:dyDescent="0.3">
      <c r="A5" s="5"/>
      <c r="B5" s="13" t="s">
        <v>0</v>
      </c>
      <c r="C5" s="43"/>
      <c r="D5" s="43" t="s">
        <v>99</v>
      </c>
      <c r="E5" s="43"/>
      <c r="F5" s="43" t="s">
        <v>99</v>
      </c>
    </row>
    <row r="6" spans="1:6" ht="15.6" x14ac:dyDescent="0.35">
      <c r="A6" t="s">
        <v>1</v>
      </c>
      <c r="B6" t="s">
        <v>60</v>
      </c>
      <c r="C6" s="4"/>
      <c r="D6" s="12">
        <v>400000</v>
      </c>
      <c r="E6" s="4"/>
      <c r="F6" s="12">
        <v>400000</v>
      </c>
    </row>
    <row r="7" spans="1:6" ht="15.6" x14ac:dyDescent="0.35">
      <c r="A7" t="s">
        <v>2</v>
      </c>
      <c r="B7" t="s">
        <v>70</v>
      </c>
      <c r="C7" s="4"/>
      <c r="D7" s="12">
        <v>600000</v>
      </c>
      <c r="E7" s="4"/>
      <c r="F7" s="12">
        <v>600000</v>
      </c>
    </row>
    <row r="8" spans="1:6" ht="15.6" x14ac:dyDescent="0.35">
      <c r="A8" s="5" t="s">
        <v>33</v>
      </c>
      <c r="B8" s="5" t="s">
        <v>61</v>
      </c>
      <c r="C8" s="8"/>
      <c r="D8" s="11">
        <v>2000000</v>
      </c>
      <c r="E8" s="8"/>
      <c r="F8" s="11">
        <v>2000000</v>
      </c>
    </row>
    <row r="9" spans="1:6" ht="15.6" x14ac:dyDescent="0.35">
      <c r="A9" s="3" t="s">
        <v>71</v>
      </c>
      <c r="B9" s="3" t="s">
        <v>62</v>
      </c>
      <c r="C9" s="3"/>
      <c r="D9" s="30">
        <f>D6/D20</f>
        <v>1.0571428571428572</v>
      </c>
      <c r="E9" s="3"/>
      <c r="F9" s="30">
        <f>F6/F20</f>
        <v>1.4533333333333331</v>
      </c>
    </row>
    <row r="10" spans="1:6" ht="15.6" x14ac:dyDescent="0.35">
      <c r="A10" s="3" t="s">
        <v>72</v>
      </c>
      <c r="B10" s="3" t="s">
        <v>73</v>
      </c>
      <c r="C10" s="3"/>
      <c r="D10" s="30">
        <f>D7/D21</f>
        <v>1.48</v>
      </c>
      <c r="E10" s="3"/>
      <c r="F10" s="30">
        <f>F7/F21</f>
        <v>1.038095238095238</v>
      </c>
    </row>
    <row r="11" spans="1:6" ht="15.6" x14ac:dyDescent="0.35">
      <c r="A11" s="9" t="s">
        <v>35</v>
      </c>
      <c r="B11" s="9" t="s">
        <v>63</v>
      </c>
      <c r="C11" s="9"/>
      <c r="D11" s="29">
        <f>D17/D24</f>
        <v>2.1142857142857143</v>
      </c>
      <c r="E11" s="9"/>
      <c r="F11" s="30">
        <f>F17/F24</f>
        <v>2.0761904761904764</v>
      </c>
    </row>
    <row r="12" spans="1:6" ht="15.6" x14ac:dyDescent="0.35">
      <c r="A12" t="s">
        <v>107</v>
      </c>
      <c r="B12" t="s">
        <v>64</v>
      </c>
      <c r="F12" s="49">
        <v>0.3</v>
      </c>
    </row>
    <row r="13" spans="1:6" ht="15.6" x14ac:dyDescent="0.35">
      <c r="A13" s="5" t="s">
        <v>108</v>
      </c>
      <c r="B13" s="5" t="s">
        <v>109</v>
      </c>
      <c r="C13" s="5"/>
      <c r="D13" s="48">
        <v>0.3</v>
      </c>
      <c r="E13" s="5"/>
      <c r="F13" s="61"/>
    </row>
    <row r="14" spans="1:6" ht="16.8" x14ac:dyDescent="0.35">
      <c r="A14" t="s">
        <v>78</v>
      </c>
      <c r="B14" t="s">
        <v>79</v>
      </c>
      <c r="D14" s="12">
        <v>4000000</v>
      </c>
    </row>
    <row r="15" spans="1:6" ht="16.8" x14ac:dyDescent="0.35">
      <c r="A15" s="5" t="s">
        <v>80</v>
      </c>
      <c r="B15" s="5" t="s">
        <v>81</v>
      </c>
      <c r="C15" s="5"/>
      <c r="D15" s="5"/>
      <c r="E15" s="5"/>
      <c r="F15" s="11">
        <v>4000000</v>
      </c>
    </row>
    <row r="16" spans="1:6" ht="15.6" x14ac:dyDescent="0.35">
      <c r="A16" s="4" t="s">
        <v>49</v>
      </c>
      <c r="B16" s="4" t="s">
        <v>67</v>
      </c>
      <c r="C16" s="15"/>
      <c r="D16" s="16">
        <v>10000000</v>
      </c>
      <c r="E16" s="15"/>
      <c r="F16" s="16">
        <v>10000000</v>
      </c>
    </row>
    <row r="17" spans="1:6" ht="16.8" x14ac:dyDescent="0.35">
      <c r="A17" s="4" t="s">
        <v>37</v>
      </c>
      <c r="B17" s="4" t="s">
        <v>68</v>
      </c>
      <c r="C17" s="15"/>
      <c r="D17" s="27">
        <f>D16-D8</f>
        <v>8000000</v>
      </c>
      <c r="E17" s="15"/>
      <c r="F17" s="27">
        <f>F16-F8</f>
        <v>8000000</v>
      </c>
    </row>
    <row r="18" spans="1:6" ht="16.8" x14ac:dyDescent="0.35">
      <c r="A18" s="8" t="s">
        <v>38</v>
      </c>
      <c r="B18" s="8" t="s">
        <v>69</v>
      </c>
      <c r="C18" s="52"/>
      <c r="D18" s="28">
        <f>D11*D19</f>
        <v>6342857.1428571427</v>
      </c>
      <c r="E18" s="52"/>
      <c r="F18" s="28">
        <f>F11*F19</f>
        <v>6228571.4285714291</v>
      </c>
    </row>
    <row r="19" spans="1:6" ht="15.6" x14ac:dyDescent="0.35">
      <c r="A19" t="s">
        <v>39</v>
      </c>
      <c r="B19" t="s">
        <v>50</v>
      </c>
      <c r="C19" s="1"/>
      <c r="D19" s="10">
        <v>3000000</v>
      </c>
      <c r="E19" s="1"/>
      <c r="F19" s="10">
        <v>3000000</v>
      </c>
    </row>
    <row r="20" spans="1:6" ht="15.6" x14ac:dyDescent="0.35">
      <c r="A20" t="s">
        <v>82</v>
      </c>
      <c r="B20" t="s">
        <v>51</v>
      </c>
      <c r="C20" s="1"/>
      <c r="D20" s="25">
        <f>D31*D24</f>
        <v>378378.3783783784</v>
      </c>
      <c r="E20" s="1"/>
      <c r="F20" s="25">
        <f>F24*F6/((1-F12)*F17)</f>
        <v>275229.35779816518</v>
      </c>
    </row>
    <row r="21" spans="1:6" ht="15.6" x14ac:dyDescent="0.35">
      <c r="A21" t="s">
        <v>83</v>
      </c>
      <c r="B21" t="s">
        <v>84</v>
      </c>
      <c r="C21" s="1"/>
      <c r="D21" s="25">
        <f>D24*D7/((1-D13)*D17)</f>
        <v>405405.40540540538</v>
      </c>
      <c r="E21" s="1"/>
      <c r="F21" s="25">
        <f>F24*F7/F15</f>
        <v>577981.65137614682</v>
      </c>
    </row>
    <row r="22" spans="1:6" ht="15.6" x14ac:dyDescent="0.35">
      <c r="A22" s="5" t="s">
        <v>40</v>
      </c>
      <c r="B22" s="5" t="s">
        <v>52</v>
      </c>
      <c r="C22" s="6"/>
      <c r="D22" s="26">
        <f>D8/D11</f>
        <v>945945.94594594592</v>
      </c>
      <c r="E22" s="6"/>
      <c r="F22" s="26">
        <f>F8/F11</f>
        <v>963302.75229357788</v>
      </c>
    </row>
    <row r="23" spans="1:6" ht="15.6" x14ac:dyDescent="0.35">
      <c r="A23" t="s">
        <v>41</v>
      </c>
      <c r="B23" t="s">
        <v>53</v>
      </c>
      <c r="C23" s="1"/>
      <c r="D23" s="1">
        <f>D19+D20</f>
        <v>3378378.3783783782</v>
      </c>
      <c r="E23" s="1"/>
      <c r="F23" s="1">
        <f>F19+F20</f>
        <v>3275229.3577981652</v>
      </c>
    </row>
    <row r="24" spans="1:6" ht="15.6" x14ac:dyDescent="0.35">
      <c r="A24" t="s">
        <v>85</v>
      </c>
      <c r="B24" t="s">
        <v>86</v>
      </c>
      <c r="C24" s="1"/>
      <c r="D24" s="1">
        <f>D19/(1-(D6/D14)-(D7/((1-D13)*D17)))</f>
        <v>3783783.7837837837</v>
      </c>
      <c r="E24" s="1"/>
      <c r="F24" s="1">
        <f>F19/(1-(F6/((1-F12)*F17))-(F7/F15))</f>
        <v>3853211.009174312</v>
      </c>
    </row>
    <row r="25" spans="1:6" ht="15.6" x14ac:dyDescent="0.35">
      <c r="A25" s="5" t="s">
        <v>42</v>
      </c>
      <c r="B25" s="5" t="s">
        <v>54</v>
      </c>
      <c r="C25" s="6"/>
      <c r="D25" s="6">
        <f>D24+D22</f>
        <v>4729729.7297297297</v>
      </c>
      <c r="E25" s="6"/>
      <c r="F25" s="6">
        <f>F24+F22</f>
        <v>4816513.7614678899</v>
      </c>
    </row>
    <row r="26" spans="1:6" ht="15.6" x14ac:dyDescent="0.35">
      <c r="A26" t="s">
        <v>43</v>
      </c>
      <c r="B26" t="s">
        <v>55</v>
      </c>
      <c r="C26" s="39"/>
      <c r="D26" s="39">
        <f>D19/D$25</f>
        <v>0.63428571428571434</v>
      </c>
      <c r="E26" s="39"/>
      <c r="F26" s="39">
        <f>F19/F$25</f>
        <v>0.62285714285714289</v>
      </c>
    </row>
    <row r="27" spans="1:6" ht="15.6" x14ac:dyDescent="0.35">
      <c r="A27" t="s">
        <v>87</v>
      </c>
      <c r="B27" t="s">
        <v>56</v>
      </c>
      <c r="C27" s="39"/>
      <c r="D27" s="39">
        <f>D20/D$25</f>
        <v>0.08</v>
      </c>
      <c r="E27" s="39"/>
      <c r="F27" s="39">
        <f>F20/F$25</f>
        <v>5.7142857142857148E-2</v>
      </c>
    </row>
    <row r="28" spans="1:6" ht="15.6" x14ac:dyDescent="0.35">
      <c r="A28" t="s">
        <v>88</v>
      </c>
      <c r="B28" t="s">
        <v>89</v>
      </c>
      <c r="C28" s="39"/>
      <c r="D28" s="39">
        <f>D21/D$25</f>
        <v>8.5714285714285715E-2</v>
      </c>
      <c r="E28" s="39"/>
      <c r="F28" s="39">
        <f>F21/F$25</f>
        <v>0.12000000000000001</v>
      </c>
    </row>
    <row r="29" spans="1:6" ht="15.6" x14ac:dyDescent="0.35">
      <c r="A29" s="5" t="s">
        <v>46</v>
      </c>
      <c r="B29" s="5" t="s">
        <v>57</v>
      </c>
      <c r="C29" s="40"/>
      <c r="D29" s="40">
        <f>D22/D$25</f>
        <v>0.19999999999999998</v>
      </c>
      <c r="E29" s="40"/>
      <c r="F29" s="40">
        <f>F22/F$25</f>
        <v>0.19999999999999998</v>
      </c>
    </row>
    <row r="30" spans="1:6" ht="15.6" x14ac:dyDescent="0.35">
      <c r="A30" t="s">
        <v>93</v>
      </c>
      <c r="B30" t="s">
        <v>58</v>
      </c>
      <c r="C30" s="39"/>
      <c r="D30" s="39">
        <f>1-D31-D32</f>
        <v>0.79285714285714293</v>
      </c>
      <c r="E30" s="39"/>
      <c r="F30" s="39">
        <f>1-F31-F32</f>
        <v>0.74619047619047618</v>
      </c>
    </row>
    <row r="31" spans="1:6" ht="15.6" x14ac:dyDescent="0.35">
      <c r="A31" t="s">
        <v>90</v>
      </c>
      <c r="B31" t="s">
        <v>91</v>
      </c>
      <c r="C31" s="39"/>
      <c r="D31" s="39">
        <f>D6/D14</f>
        <v>0.1</v>
      </c>
      <c r="E31" s="39"/>
      <c r="F31" s="39">
        <f>F6/F24</f>
        <v>0.10380952380952381</v>
      </c>
    </row>
    <row r="32" spans="1:6" ht="15.6" x14ac:dyDescent="0.35">
      <c r="A32" s="5" t="s">
        <v>95</v>
      </c>
      <c r="B32" s="5" t="s">
        <v>92</v>
      </c>
      <c r="C32" s="40"/>
      <c r="D32" s="40">
        <f>D21/D24</f>
        <v>0.10714285714285714</v>
      </c>
      <c r="E32" s="40"/>
      <c r="F32" s="40">
        <f>F21/F24</f>
        <v>0.15</v>
      </c>
    </row>
    <row r="33" spans="1:6" ht="15.6" x14ac:dyDescent="0.35">
      <c r="A33" t="s">
        <v>47</v>
      </c>
      <c r="B33" t="s">
        <v>58</v>
      </c>
      <c r="C33" s="39"/>
      <c r="D33" s="39">
        <f>1-D34</f>
        <v>0.9</v>
      </c>
      <c r="E33" s="39"/>
      <c r="F33" s="39">
        <f>F19/F23</f>
        <v>0.91596638655462181</v>
      </c>
    </row>
    <row r="34" spans="1:6" ht="15.6" x14ac:dyDescent="0.35">
      <c r="A34" s="5" t="s">
        <v>94</v>
      </c>
      <c r="B34" s="5" t="s">
        <v>59</v>
      </c>
      <c r="C34" s="40"/>
      <c r="D34" s="40">
        <f>D6/D14</f>
        <v>0.1</v>
      </c>
      <c r="E34" s="40"/>
      <c r="F34" s="40">
        <f>F20/F23</f>
        <v>8.4033613445378158E-2</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Copyright</vt:lpstr>
      <vt:lpstr>Single SAFE round</vt:lpstr>
      <vt:lpstr>Two SAFE rounds</vt:lpstr>
      <vt:lpstr>Comparison of SAFEs</vt:lpstr>
      <vt:lpstr>Calculations</vt:lpstr>
      <vt:lpstr>Partially binding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Hellmann</dc:creator>
  <cp:lastModifiedBy>Thomas Hellmann</cp:lastModifiedBy>
  <dcterms:created xsi:type="dcterms:W3CDTF">2022-11-05T11:38:28Z</dcterms:created>
  <dcterms:modified xsi:type="dcterms:W3CDTF">2024-09-12T17:12:34Z</dcterms:modified>
</cp:coreProperties>
</file>